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ustom.xml" ContentType="application/vnd.openxmlformats-officedocument.custom-properties+xml"/>
  <Override PartName="/xl/ctrlProps/ctrlProp4.xml" ContentType="application/vnd.ms-excel.controlproperties+xml"/>
  <Override PartName="/xl/ctrlProps/ctrlProp3.xml" ContentType="application/vnd.ms-excel.controlproperties+xml"/>
  <Override PartName="/xl/externalLinks/externalLink1.xml" ContentType="application/vnd.openxmlformats-officedocument.spreadsheetml.externalLink+xml"/>
  <Override PartName="/xl/ctrlProps/ctrlProp2.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60_SVIT\02_Viticulture NE\03_Vulgarisation\01 Séances d'information\2022\202207_Séance PA 2023\"/>
    </mc:Choice>
  </mc:AlternateContent>
  <bookViews>
    <workbookView xWindow="0" yWindow="0" windowWidth="28800" windowHeight="11835" tabRatio="890"/>
  </bookViews>
  <sheets>
    <sheet name="Paysage cultivé" sheetId="11" r:id="rId1"/>
    <sheet name="Sécurité" sheetId="1" r:id="rId2"/>
    <sheet name="Biodiversité" sheetId="10" r:id="rId3"/>
    <sheet name="Qualité du paysage" sheetId="18" r:id="rId4"/>
    <sheet name="Système de production" sheetId="2" r:id="rId5"/>
    <sheet name="Efficience des ressources" sheetId="17" r:id="rId6"/>
    <sheet name="Transition" sheetId="13" r:id="rId7"/>
    <sheet name="Limitations" sheetId="14" r:id="rId8"/>
    <sheet name="Texte" sheetId="16" state="hidden" r:id="rId9"/>
  </sheets>
  <externalReferences>
    <externalReference r:id="rId10"/>
  </externalReferences>
  <definedNames>
    <definedName name="AusblendSpalten" localSheetId="2">Biodiversité!$P:$P</definedName>
    <definedName name="AusblendSpalten" localSheetId="0">'Paysage cultivé'!$P:$P</definedName>
    <definedName name="AusblendSpalten" localSheetId="1">Sécurité!#REF!</definedName>
    <definedName name="BlattwahlNo" localSheetId="2">4</definedName>
    <definedName name="BlattwahlNo" localSheetId="5">5</definedName>
    <definedName name="BlattwahlNo" localSheetId="7">6</definedName>
    <definedName name="BlattwahlNo" localSheetId="0">4</definedName>
    <definedName name="BlattwahlNo" localSheetId="3">5</definedName>
    <definedName name="BlattwahlNo" localSheetId="1">4</definedName>
    <definedName name="BlattwahlNo" localSheetId="4">5</definedName>
    <definedName name="BlattwahlNo" localSheetId="8">62</definedName>
    <definedName name="Hi_La_Alp_üZ_üS" localSheetId="2">#REF!,#REF!,#REF!</definedName>
    <definedName name="Hi_La_Alp_üZ_üS" localSheetId="5">#REF!,#REF!,#REF!</definedName>
    <definedName name="Hi_La_Alp_üZ_üS" localSheetId="7">#REF!,#REF!,#REF!</definedName>
    <definedName name="Hi_La_Alp_üZ_üS" localSheetId="0">#REF!,#REF!,#REF!</definedName>
    <definedName name="Hi_La_Alp_üZ_üS" localSheetId="3">#REF!,#REF!,#REF!</definedName>
    <definedName name="Hi_La_Alp_üZ_üS">#REF!,#REF!,#REF!</definedName>
    <definedName name="ID">"nicht identifiziert"</definedName>
    <definedName name="KlickAnbaumeth" localSheetId="2">#REF!</definedName>
    <definedName name="KlickAnbaumeth" localSheetId="5">#REF!</definedName>
    <definedName name="KlickAnbaumeth" localSheetId="7">#REF!</definedName>
    <definedName name="KlickAnbaumeth" localSheetId="0">#REF!</definedName>
    <definedName name="KlickAnbaumeth" localSheetId="3">#REF!</definedName>
    <definedName name="KlickAnbaumeth">#REF!</definedName>
    <definedName name="KlickZonenEintlg" localSheetId="2">#REF!</definedName>
    <definedName name="KlickZonenEintlg" localSheetId="5">#REF!</definedName>
    <definedName name="KlickZonenEintlg" localSheetId="7">#REF!</definedName>
    <definedName name="KlickZonenEintlg" localSheetId="0">#REF!</definedName>
    <definedName name="KlickZonenEintlg" localSheetId="3">#REF!</definedName>
    <definedName name="KlickZonenEintlg">#REF!</definedName>
    <definedName name="Kühe" localSheetId="5">'Efficience des ressources'!#REF!</definedName>
    <definedName name="Kühe" localSheetId="3">'Qualité du paysage'!#REF!</definedName>
    <definedName name="Kühe" localSheetId="4">'Système de production'!#REF!</definedName>
    <definedName name="mBG" localSheetId="8">Texte!#REF!</definedName>
    <definedName name="mussPosSein" localSheetId="2">Biodiversité!#REF!,Biodiversité!$K$22,Biodiversité!#REF!,'Système de production'!#REF!,'Système de production'!#REF!,#REF!,Biodiversité!#REF!,Biodiversité!#REF!</definedName>
    <definedName name="mussPosSein" localSheetId="5">'Efficience des ressources'!#REF!,'Efficience des ressources'!#REF!,'Efficience des ressources'!#REF!,'Efficience des ressources'!#REF!</definedName>
    <definedName name="mussPosSein" localSheetId="7">Limitations!#REF!</definedName>
    <definedName name="mussPosSein" localSheetId="0">'Paysage cultivé'!#REF!,'Paysage cultivé'!#REF!,'Paysage cultivé'!#REF!,'Système de production'!#REF!,'Système de production'!#REF!,#REF!,'Paysage cultivé'!#REF!,'Paysage cultivé'!#REF!</definedName>
    <definedName name="mussPosSein" localSheetId="3">'Qualité du paysage'!#REF!,'Qualité du paysage'!#REF!,'Qualité du paysage'!#REF!,'Qualité du paysage'!#REF!</definedName>
    <definedName name="mussPosSein" localSheetId="1">Sécurité!#REF!,Sécurité!#REF!,Sécurité!#REF!,'Système de production'!#REF!,'Système de production'!#REF!,#REF!,Sécurité!#REF!,Sécurité!#REF!</definedName>
    <definedName name="mussPosSein" localSheetId="4">'Système de production'!#REF!,'Système de production'!#REF!,'Système de production'!#REF!,'Système de production'!#REF!</definedName>
    <definedName name="mussZahlSein" localSheetId="7">'[1]PD 1'!#REF!</definedName>
    <definedName name="NE_EK" localSheetId="8">Texte!#REF!</definedName>
    <definedName name="oBG" localSheetId="8">Texte!#REF!</definedName>
    <definedName name="RapsKuchen" localSheetId="8">Texte!#REF!</definedName>
    <definedName name="RGVE" localSheetId="2">#REF!,#REF!,#REF!,#REF!</definedName>
    <definedName name="RGVE" localSheetId="5">#REF!,#REF!,#REF!,#REF!</definedName>
    <definedName name="RGVE" localSheetId="7">#REF!,#REF!,#REF!,#REF!</definedName>
    <definedName name="RGVE" localSheetId="0">#REF!,#REF!,#REF!,#REF!</definedName>
    <definedName name="RGVE" localSheetId="3">#REF!,#REF!,#REF!,#REF!</definedName>
    <definedName name="RGVE">#REF!,#REF!,#REF!,#REF!</definedName>
    <definedName name="Ri_Pf_Bi_MZ_MS" localSheetId="2">#REF!,#REF!,#REF!,#REF!,#REF!</definedName>
    <definedName name="Ri_Pf_Bi_MZ_MS" localSheetId="5">#REF!,#REF!,#REF!,#REF!,#REF!</definedName>
    <definedName name="Ri_Pf_Bi_MZ_MS" localSheetId="7">#REF!,#REF!,#REF!,#REF!,#REF!</definedName>
    <definedName name="Ri_Pf_Bi_MZ_MS" localSheetId="0">#REF!,#REF!,#REF!,#REF!,#REF!</definedName>
    <definedName name="Ri_Pf_Bi_MZ_MS" localSheetId="3">#REF!,#REF!,#REF!,#REF!,#REF!</definedName>
    <definedName name="Ri_Pf_Bi_MZ_MS">#REF!,#REF!,#REF!,#REF!,#REF!</definedName>
    <definedName name="Seite" localSheetId="8">Texte!#REF!</definedName>
    <definedName name="SprachIdx" localSheetId="8">Texte!$A$2</definedName>
    <definedName name="StartZelle" localSheetId="2">Biodiversité!#REF!</definedName>
    <definedName name="StartZelle" localSheetId="5">'Efficience des ressources'!#REF!</definedName>
    <definedName name="StartZelle" localSheetId="7">Limitations!#REF!</definedName>
    <definedName name="StartZelle" localSheetId="0">'Paysage cultivé'!#REF!</definedName>
    <definedName name="StartZelle" localSheetId="3">'Qualité du paysage'!#REF!</definedName>
    <definedName name="StartZelle" localSheetId="1">Sécurité!#REF!</definedName>
    <definedName name="StartZelle" localSheetId="4">'Système de production'!#REF!</definedName>
    <definedName name="StartZelle" localSheetId="8">Texte!$A$1</definedName>
    <definedName name="Stück" localSheetId="8">Texte!#REF!</definedName>
    <definedName name="_xlnm.Print_Area" localSheetId="2">Biodiversité!$A$1:$O$80</definedName>
    <definedName name="_xlnm.Print_Area" localSheetId="5">'Efficience des ressources'!$A$1:$Q$32</definedName>
    <definedName name="_xlnm.Print_Area" localSheetId="7">Limitations!$A$1:$P$69</definedName>
    <definedName name="_xlnm.Print_Area" localSheetId="0">'Paysage cultivé'!$A$1:$O$70</definedName>
    <definedName name="_xlnm.Print_Area" localSheetId="3">'Qualité du paysage'!$A$1:$Q$30</definedName>
    <definedName name="_xlnm.Print_Area" localSheetId="1">Sécurité!$A$1:$Q$83</definedName>
    <definedName name="_xlnm.Print_Area" localSheetId="4">'Système de production'!$B$1:$Q$168</definedName>
    <definedName name="_xlnm.Print_Area" localSheetId="6">Transition!$A$1:$U$49</definedName>
  </definedNames>
  <calcPr calcId="162913"/>
</workbook>
</file>

<file path=xl/calcChain.xml><?xml version="1.0" encoding="utf-8"?>
<calcChain xmlns="http://schemas.openxmlformats.org/spreadsheetml/2006/main">
  <c r="K42" i="1" l="1"/>
  <c r="C44" i="1" l="1"/>
  <c r="C43" i="1"/>
  <c r="C42" i="1"/>
  <c r="C41" i="1"/>
  <c r="C40" i="1"/>
  <c r="C39" i="1"/>
  <c r="O145" i="2" l="1"/>
  <c r="O125" i="2" s="1"/>
  <c r="O146" i="2"/>
  <c r="O126" i="2" s="1"/>
  <c r="O147" i="2"/>
  <c r="O127" i="2" s="1"/>
  <c r="O148" i="2"/>
  <c r="O128" i="2" s="1"/>
  <c r="O149" i="2"/>
  <c r="O129" i="2" s="1"/>
  <c r="O150" i="2"/>
  <c r="O130" i="2" s="1"/>
  <c r="O151" i="2"/>
  <c r="O131" i="2" s="1"/>
  <c r="A520" i="16"/>
  <c r="C123" i="2" s="1"/>
  <c r="A512" i="16"/>
  <c r="D125" i="2" s="1"/>
  <c r="A513" i="16"/>
  <c r="C146" i="2" s="1"/>
  <c r="A514" i="16"/>
  <c r="C147" i="2" s="1"/>
  <c r="A515" i="16"/>
  <c r="C148" i="2" s="1"/>
  <c r="A516" i="16"/>
  <c r="D129" i="2" s="1"/>
  <c r="A517" i="16"/>
  <c r="C150" i="2" s="1"/>
  <c r="A518" i="16"/>
  <c r="C151" i="2" s="1"/>
  <c r="A519" i="16"/>
  <c r="C152" i="2" s="1"/>
  <c r="A511" i="16"/>
  <c r="C144" i="2" s="1"/>
  <c r="C149" i="2" l="1"/>
  <c r="D128" i="2"/>
  <c r="D127" i="2"/>
  <c r="D126" i="2"/>
  <c r="D124" i="2"/>
  <c r="D132" i="2"/>
  <c r="C145" i="2"/>
  <c r="D131" i="2"/>
  <c r="D130" i="2"/>
  <c r="A510" i="16"/>
  <c r="C71" i="2" s="1"/>
  <c r="A509" i="16"/>
  <c r="C70" i="2" s="1"/>
  <c r="A508" i="16" l="1"/>
  <c r="C63" i="2" s="1"/>
  <c r="A507" i="16"/>
  <c r="C62" i="2" s="1"/>
  <c r="A506" i="16"/>
  <c r="C61" i="2" s="1"/>
  <c r="A140" i="16"/>
  <c r="C59" i="2" s="1"/>
  <c r="M59" i="2"/>
  <c r="M77" i="2"/>
  <c r="A505" i="16"/>
  <c r="B18" i="2" s="1"/>
  <c r="A504" i="16" l="1"/>
  <c r="C12" i="13" s="1"/>
  <c r="A503" i="16"/>
  <c r="M158" i="2" s="1"/>
  <c r="K160" i="2" l="1"/>
  <c r="O160" i="2" s="1"/>
  <c r="K159" i="2"/>
  <c r="O159" i="2" s="1"/>
  <c r="A502" i="16"/>
  <c r="C163" i="2" s="1"/>
  <c r="A156" i="16"/>
  <c r="H158" i="2" s="1"/>
  <c r="O152" i="2" l="1"/>
  <c r="O132" i="2" s="1"/>
  <c r="O144" i="2"/>
  <c r="O124" i="2" s="1"/>
  <c r="O133" i="2"/>
  <c r="A501" i="16"/>
  <c r="A145" i="16"/>
  <c r="C75" i="2" s="1"/>
  <c r="A500" i="16" l="1"/>
  <c r="C68" i="2" s="1"/>
  <c r="A498" i="16"/>
  <c r="B109" i="2" s="1"/>
  <c r="A499" i="16"/>
  <c r="C53" i="2" s="1"/>
  <c r="O51" i="2"/>
  <c r="A497" i="16"/>
  <c r="B73" i="2" s="1"/>
  <c r="A496" i="16"/>
  <c r="B48" i="2" s="1"/>
  <c r="A495" i="16" l="1"/>
  <c r="C45" i="2" s="1"/>
  <c r="A494" i="16"/>
  <c r="C38" i="2" s="1"/>
  <c r="A493" i="16"/>
  <c r="C28" i="2" s="1"/>
  <c r="A492" i="16"/>
  <c r="C20" i="2" s="1"/>
  <c r="A491" i="16"/>
  <c r="B72" i="10" s="1"/>
  <c r="A490" i="16"/>
  <c r="C21" i="10" l="1"/>
  <c r="A157" i="16"/>
  <c r="C162" i="2" s="1"/>
  <c r="A155" i="16"/>
  <c r="C160" i="2" s="1"/>
  <c r="A154" i="16"/>
  <c r="C159" i="2" s="1"/>
  <c r="A153" i="16"/>
  <c r="B157" i="2" s="1"/>
  <c r="A152" i="16"/>
  <c r="C79" i="1" s="1"/>
  <c r="O75" i="1"/>
  <c r="A151" i="16"/>
  <c r="C75" i="1" s="1"/>
  <c r="A150" i="16"/>
  <c r="C139" i="2" s="1"/>
  <c r="A149" i="16"/>
  <c r="C153" i="2" s="1"/>
  <c r="A148" i="16"/>
  <c r="A147" i="16"/>
  <c r="B143" i="2" s="1"/>
  <c r="A122" i="16"/>
  <c r="C21" i="2" s="1"/>
  <c r="A121" i="16"/>
  <c r="B17" i="2" s="1"/>
  <c r="Q163" i="2" l="1"/>
  <c r="A146" i="16" l="1"/>
  <c r="C77" i="2" s="1"/>
  <c r="A144" i="16"/>
  <c r="B74" i="2" s="1"/>
  <c r="M66" i="2"/>
  <c r="Q69" i="2" s="1"/>
  <c r="A143" i="16"/>
  <c r="C66" i="2" s="1"/>
  <c r="A139" i="16"/>
  <c r="C58" i="2" s="1"/>
  <c r="M60" i="2"/>
  <c r="M58" i="2"/>
  <c r="A141" i="16"/>
  <c r="C60" i="2" s="1"/>
  <c r="A142" i="16"/>
  <c r="B65" i="2" s="1"/>
  <c r="A131" i="16"/>
  <c r="C41" i="2" s="1"/>
  <c r="A132" i="16"/>
  <c r="C42" i="2" s="1"/>
  <c r="A133" i="16"/>
  <c r="C43" i="2" s="1"/>
  <c r="A138" i="16"/>
  <c r="B57" i="2" s="1"/>
  <c r="A137" i="16"/>
  <c r="M50" i="2"/>
  <c r="Q54" i="2" s="1"/>
  <c r="A136" i="16"/>
  <c r="C51" i="2" s="1"/>
  <c r="A135" i="16"/>
  <c r="C50" i="2" s="1"/>
  <c r="A134" i="16"/>
  <c r="B49" i="2" s="1"/>
  <c r="M42" i="2"/>
  <c r="M43" i="2"/>
  <c r="M41" i="2"/>
  <c r="A130" i="16"/>
  <c r="B40" i="2" s="1"/>
  <c r="M36" i="2"/>
  <c r="Q39" i="2" s="1"/>
  <c r="A129" i="16"/>
  <c r="C36" i="2" s="1"/>
  <c r="A128" i="16"/>
  <c r="B35" i="2" s="1"/>
  <c r="M31" i="2"/>
  <c r="Q34" i="2" s="1"/>
  <c r="A127" i="16"/>
  <c r="C31" i="2" s="1"/>
  <c r="A126" i="16"/>
  <c r="B30" i="2" s="1"/>
  <c r="M26" i="2"/>
  <c r="Q29" i="2" s="1"/>
  <c r="M20" i="2"/>
  <c r="M19" i="2"/>
  <c r="A125" i="16"/>
  <c r="C26" i="2" s="1"/>
  <c r="A124" i="16"/>
  <c r="B25" i="2" s="1"/>
  <c r="Q64" i="2" l="1"/>
  <c r="Q46" i="2"/>
  <c r="Q23" i="2"/>
  <c r="A123" i="16"/>
  <c r="C19" i="2" s="1"/>
  <c r="A120" i="16"/>
  <c r="B16" i="2" s="1"/>
  <c r="B56" i="2" l="1"/>
  <c r="A489" i="16" l="1"/>
  <c r="C78" i="1" s="1"/>
  <c r="O76" i="1"/>
  <c r="A488" i="16"/>
  <c r="C76" i="1" s="1"/>
  <c r="A487" i="16" l="1"/>
  <c r="K60" i="11" s="1"/>
  <c r="A483" i="16" l="1"/>
  <c r="A486" i="16" l="1"/>
  <c r="M17" i="17"/>
  <c r="Q20" i="17" s="1"/>
  <c r="A485" i="16"/>
  <c r="B16" i="17" s="1"/>
  <c r="O137" i="2" l="1"/>
  <c r="A484" i="16"/>
  <c r="C137" i="2" s="1"/>
  <c r="A482" i="16"/>
  <c r="O71" i="1"/>
  <c r="A87" i="16"/>
  <c r="C71" i="1" s="1"/>
  <c r="A481" i="16"/>
  <c r="A480" i="16"/>
  <c r="A479" i="16"/>
  <c r="N37" i="10" s="1"/>
  <c r="J10" i="14"/>
  <c r="M39" i="10"/>
  <c r="H16" i="14"/>
  <c r="A478" i="16"/>
  <c r="Q38" i="13" s="1"/>
  <c r="M30" i="10"/>
  <c r="A477" i="16"/>
  <c r="Q27" i="13" s="1"/>
  <c r="A476" i="16"/>
  <c r="Q28" i="13" s="1"/>
  <c r="A475" i="16"/>
  <c r="Q25" i="13" s="1"/>
  <c r="A474" i="16"/>
  <c r="A473" i="16"/>
  <c r="Q24" i="13" s="1"/>
  <c r="A472" i="16"/>
  <c r="R24" i="13" s="1"/>
  <c r="A471" i="16"/>
  <c r="C39" i="14" s="1"/>
  <c r="A470" i="16"/>
  <c r="A469" i="16"/>
  <c r="A468" i="16"/>
  <c r="K22" i="10"/>
  <c r="A467" i="16"/>
  <c r="C24" i="10" s="1"/>
  <c r="M22" i="10"/>
  <c r="A466" i="16"/>
  <c r="C77" i="10" s="1"/>
  <c r="A465" i="16"/>
  <c r="K39" i="10"/>
  <c r="K38" i="10"/>
  <c r="A464" i="16"/>
  <c r="M25" i="10" s="1"/>
  <c r="A463" i="16"/>
  <c r="C79" i="10" s="1"/>
  <c r="A462" i="16"/>
  <c r="C78" i="10" s="1"/>
  <c r="A449" i="16"/>
  <c r="N30" i="10" s="1"/>
  <c r="A450" i="16"/>
  <c r="N31" i="10" s="1"/>
  <c r="A451" i="16"/>
  <c r="A452" i="16"/>
  <c r="A453" i="16"/>
  <c r="A454" i="16"/>
  <c r="A455" i="16"/>
  <c r="A456" i="16"/>
  <c r="A457" i="16"/>
  <c r="A458" i="16"/>
  <c r="C76" i="10" s="1"/>
  <c r="A459" i="16"/>
  <c r="A460" i="16"/>
  <c r="M38" i="10"/>
  <c r="A447" i="16"/>
  <c r="N28" i="10" s="1"/>
  <c r="A448" i="16"/>
  <c r="N29" i="10" s="1"/>
  <c r="H20" i="14"/>
  <c r="H12" i="14"/>
  <c r="J12" i="14" s="1"/>
  <c r="A103" i="16"/>
  <c r="C50" i="10" s="1"/>
  <c r="M31" i="10"/>
  <c r="A308" i="16"/>
  <c r="N10" i="10" s="1"/>
  <c r="A68" i="16"/>
  <c r="C18" i="13" s="1"/>
  <c r="A446" i="16"/>
  <c r="A445" i="16"/>
  <c r="A378" i="16"/>
  <c r="A388" i="16"/>
  <c r="A389" i="16"/>
  <c r="A386" i="16"/>
  <c r="A387" i="16"/>
  <c r="M21" i="10"/>
  <c r="A444" i="16"/>
  <c r="E17" i="1"/>
  <c r="K60" i="1" s="1"/>
  <c r="O60" i="1" s="1"/>
  <c r="Q62" i="1" s="1"/>
  <c r="G17" i="1"/>
  <c r="K31" i="1" s="1"/>
  <c r="O31" i="1" s="1"/>
  <c r="M17" i="1"/>
  <c r="K32" i="1" s="1"/>
  <c r="I17" i="1"/>
  <c r="K33" i="1" s="1"/>
  <c r="E51" i="1"/>
  <c r="G51" i="1"/>
  <c r="E52" i="1"/>
  <c r="G52" i="1"/>
  <c r="E53" i="1"/>
  <c r="G53" i="1"/>
  <c r="E54" i="1"/>
  <c r="G54" i="1"/>
  <c r="E55" i="1"/>
  <c r="G55" i="1"/>
  <c r="A443" i="16"/>
  <c r="A442" i="16"/>
  <c r="A441" i="16"/>
  <c r="D86" i="2" s="1"/>
  <c r="A21" i="16"/>
  <c r="C44" i="13" s="1"/>
  <c r="A440" i="16"/>
  <c r="C43" i="13" s="1"/>
  <c r="A249" i="16"/>
  <c r="Q13" i="17"/>
  <c r="A51" i="16"/>
  <c r="M38" i="13" s="1"/>
  <c r="A404" i="16"/>
  <c r="C11" i="17" s="1"/>
  <c r="A403" i="16"/>
  <c r="C10" i="17" s="1"/>
  <c r="A402" i="16"/>
  <c r="C9" i="17" s="1"/>
  <c r="A401" i="16"/>
  <c r="H7" i="17" s="1"/>
  <c r="A344" i="16"/>
  <c r="C107" i="2" s="1"/>
  <c r="A191" i="16"/>
  <c r="C106" i="2" s="1"/>
  <c r="E87" i="2"/>
  <c r="I87" i="2"/>
  <c r="K87" i="2"/>
  <c r="I88" i="2"/>
  <c r="I89" i="2"/>
  <c r="I90" i="2"/>
  <c r="I91" i="2"/>
  <c r="I92" i="2"/>
  <c r="E88" i="2"/>
  <c r="E89" i="2"/>
  <c r="K89" i="2"/>
  <c r="E90" i="2"/>
  <c r="K90" i="2"/>
  <c r="E91" i="2"/>
  <c r="E92" i="2"/>
  <c r="K88" i="2"/>
  <c r="K91" i="2"/>
  <c r="K92" i="2"/>
  <c r="K35" i="1"/>
  <c r="A111" i="16"/>
  <c r="A362" i="16"/>
  <c r="C26" i="14" s="1"/>
  <c r="J26" i="14"/>
  <c r="A114" i="16"/>
  <c r="B5" i="11" s="1"/>
  <c r="A71" i="16"/>
  <c r="A231" i="16"/>
  <c r="C120" i="2" s="1"/>
  <c r="G88" i="2"/>
  <c r="G89" i="2"/>
  <c r="G90" i="2"/>
  <c r="G91" i="2"/>
  <c r="G92" i="2"/>
  <c r="G87" i="2"/>
  <c r="A59" i="16"/>
  <c r="C43" i="10" s="1"/>
  <c r="A58" i="16"/>
  <c r="C42" i="10" s="1"/>
  <c r="A323" i="16"/>
  <c r="A322" i="16"/>
  <c r="A184" i="16"/>
  <c r="A289" i="16"/>
  <c r="D23" i="1" s="1"/>
  <c r="A342" i="16"/>
  <c r="I49" i="1" s="1"/>
  <c r="A341" i="16"/>
  <c r="P33" i="1" s="1"/>
  <c r="A340" i="16"/>
  <c r="P32" i="1" s="1"/>
  <c r="A339" i="16"/>
  <c r="K22" i="1" s="1"/>
  <c r="K11" i="1"/>
  <c r="Q11" i="1" s="1"/>
  <c r="K12" i="1"/>
  <c r="Q12" i="1" s="1"/>
  <c r="K13" i="1"/>
  <c r="Q13" i="1" s="1"/>
  <c r="K14" i="1"/>
  <c r="Q14" i="1" s="1"/>
  <c r="K15" i="1"/>
  <c r="Q15" i="1" s="1"/>
  <c r="K16" i="1"/>
  <c r="Q16" i="1" s="1"/>
  <c r="A204" i="16"/>
  <c r="A282" i="16"/>
  <c r="Q6" i="18" s="1"/>
  <c r="A346" i="16"/>
  <c r="O28" i="1" s="1"/>
  <c r="A196" i="16"/>
  <c r="C61" i="11" s="1"/>
  <c r="A197" i="16"/>
  <c r="O61" i="11"/>
  <c r="O64" i="11" s="1"/>
  <c r="U25" i="13" s="1"/>
  <c r="A223" i="16"/>
  <c r="A422" i="16"/>
  <c r="C28" i="11" s="1"/>
  <c r="A423" i="16"/>
  <c r="C29" i="11" s="1"/>
  <c r="K27" i="11"/>
  <c r="K28" i="11" s="1"/>
  <c r="A420" i="16"/>
  <c r="C31" i="11" s="1"/>
  <c r="K25" i="11"/>
  <c r="K29" i="11" s="1"/>
  <c r="A418" i="16"/>
  <c r="C25" i="11" s="1"/>
  <c r="A421" i="16"/>
  <c r="C27" i="11" s="1"/>
  <c r="A118" i="16"/>
  <c r="C14" i="11" s="1"/>
  <c r="A434" i="16"/>
  <c r="J41" i="1" s="1"/>
  <c r="A428" i="16"/>
  <c r="A435" i="16"/>
  <c r="A436" i="16"/>
  <c r="A437" i="16"/>
  <c r="A438" i="16"/>
  <c r="A439" i="16"/>
  <c r="A412" i="16"/>
  <c r="K34" i="1"/>
  <c r="A433" i="16"/>
  <c r="U10" i="1" s="1"/>
  <c r="A432" i="16"/>
  <c r="V12" i="1" s="1"/>
  <c r="A430" i="16"/>
  <c r="A431" i="16"/>
  <c r="A429" i="16"/>
  <c r="A345" i="16"/>
  <c r="M28" i="1" s="1"/>
  <c r="A343" i="16"/>
  <c r="A252" i="16"/>
  <c r="A277" i="16"/>
  <c r="B64" i="1" s="1"/>
  <c r="A269" i="16"/>
  <c r="C60" i="1" s="1"/>
  <c r="A91" i="16"/>
  <c r="C59" i="1" s="1"/>
  <c r="A317" i="16"/>
  <c r="C89" i="2" s="1"/>
  <c r="A318" i="16"/>
  <c r="C14" i="1" s="1"/>
  <c r="A319" i="16"/>
  <c r="C91" i="2" s="1"/>
  <c r="A320" i="16"/>
  <c r="C55" i="1" s="1"/>
  <c r="A316" i="16"/>
  <c r="A331" i="16"/>
  <c r="K50" i="1" s="1"/>
  <c r="A332" i="16"/>
  <c r="I50" i="1" s="1"/>
  <c r="A347" i="16"/>
  <c r="G10" i="1" s="1"/>
  <c r="A270" i="16"/>
  <c r="C30" i="1" s="1"/>
  <c r="A97" i="16"/>
  <c r="C48" i="1" s="1"/>
  <c r="A416" i="16"/>
  <c r="O38" i="1" s="1"/>
  <c r="A415" i="16"/>
  <c r="K38" i="1" s="1"/>
  <c r="A414" i="16"/>
  <c r="I38" i="1" s="1"/>
  <c r="A411" i="16"/>
  <c r="D38" i="1" s="1"/>
  <c r="A410" i="16"/>
  <c r="C37" i="1" s="1"/>
  <c r="A336" i="16"/>
  <c r="C22" i="1" s="1"/>
  <c r="A338" i="16"/>
  <c r="C35" i="1" s="1"/>
  <c r="A337" i="16"/>
  <c r="C34" i="1" s="1"/>
  <c r="A94" i="16"/>
  <c r="C29" i="1" s="1"/>
  <c r="A408" i="16"/>
  <c r="A427" i="16"/>
  <c r="A10" i="16" s="1"/>
  <c r="A426" i="16"/>
  <c r="A9" i="16" s="1"/>
  <c r="J14" i="14"/>
  <c r="J16" i="14"/>
  <c r="J18" i="14"/>
  <c r="J20" i="14"/>
  <c r="J22" i="14"/>
  <c r="J24" i="14"/>
  <c r="J28" i="14"/>
  <c r="J30" i="14"/>
  <c r="J32" i="14"/>
  <c r="J34" i="14"/>
  <c r="J36" i="14"/>
  <c r="O36" i="1"/>
  <c r="M11" i="10"/>
  <c r="M12" i="10"/>
  <c r="Q96" i="2"/>
  <c r="A248" i="16"/>
  <c r="C10" i="14" s="1"/>
  <c r="A425" i="16"/>
  <c r="A55" i="16"/>
  <c r="C36" i="14" s="1"/>
  <c r="A424" i="16"/>
  <c r="C37" i="11" s="1"/>
  <c r="A85" i="16"/>
  <c r="C69" i="1" s="1"/>
  <c r="A86" i="16"/>
  <c r="C70" i="1" s="1"/>
  <c r="A88" i="16"/>
  <c r="C72" i="1" s="1"/>
  <c r="A89" i="16"/>
  <c r="C73" i="1" s="1"/>
  <c r="A90" i="16"/>
  <c r="C74" i="1" s="1"/>
  <c r="A189" i="16"/>
  <c r="I21" i="1" s="1"/>
  <c r="A334" i="16"/>
  <c r="G19" i="1" s="1"/>
  <c r="A335" i="16"/>
  <c r="C20" i="1" s="1"/>
  <c r="A16" i="16"/>
  <c r="C101" i="2" s="1"/>
  <c r="A257" i="16"/>
  <c r="C100" i="2" s="1"/>
  <c r="A365" i="16"/>
  <c r="D85" i="2" s="1"/>
  <c r="A253" i="16"/>
  <c r="A190" i="16"/>
  <c r="A39" i="16"/>
  <c r="G101" i="2" s="1"/>
  <c r="A80" i="16"/>
  <c r="M86" i="2" s="1"/>
  <c r="A398" i="16"/>
  <c r="K10" i="1" s="1"/>
  <c r="A205" i="16"/>
  <c r="A81" i="16"/>
  <c r="O98" i="2" s="1"/>
  <c r="A69" i="16"/>
  <c r="O96" i="2" s="1"/>
  <c r="A288" i="16"/>
  <c r="A287" i="16"/>
  <c r="Q10" i="1" s="1"/>
  <c r="A368" i="16"/>
  <c r="D93" i="2" s="1"/>
  <c r="A271" i="16"/>
  <c r="C54" i="14" s="1"/>
  <c r="A315" i="16"/>
  <c r="C11" i="1" s="1"/>
  <c r="A326" i="16"/>
  <c r="A325" i="16"/>
  <c r="A95" i="16"/>
  <c r="C33" i="13" s="1"/>
  <c r="O69" i="1"/>
  <c r="O70" i="1"/>
  <c r="O72" i="1"/>
  <c r="O73" i="1"/>
  <c r="O74" i="1"/>
  <c r="A35" i="16"/>
  <c r="A62" i="16"/>
  <c r="C34" i="14" s="1"/>
  <c r="A112" i="16"/>
  <c r="A110" i="16"/>
  <c r="B5" i="17" s="1"/>
  <c r="Q30" i="17"/>
  <c r="O34" i="13" s="1"/>
  <c r="A245" i="16"/>
  <c r="A280" i="16"/>
  <c r="B30" i="17" s="1"/>
  <c r="A279" i="16"/>
  <c r="B22" i="17" s="1"/>
  <c r="A188" i="16"/>
  <c r="K26" i="17" s="1"/>
  <c r="A159" i="16"/>
  <c r="C28" i="17" s="1"/>
  <c r="A165" i="16"/>
  <c r="C27" i="17" s="1"/>
  <c r="A244" i="16"/>
  <c r="K29" i="13" s="1"/>
  <c r="A92" i="16"/>
  <c r="C26" i="13" s="1"/>
  <c r="A242" i="16"/>
  <c r="K27" i="13" s="1"/>
  <c r="A241" i="16"/>
  <c r="K26" i="13" s="1"/>
  <c r="M19" i="11"/>
  <c r="M18" i="11"/>
  <c r="M20" i="11"/>
  <c r="M8" i="11"/>
  <c r="M9" i="11"/>
  <c r="M10" i="11"/>
  <c r="M11" i="11"/>
  <c r="M12" i="11"/>
  <c r="M36" i="11"/>
  <c r="M37" i="11"/>
  <c r="M38" i="11"/>
  <c r="O45" i="11"/>
  <c r="O55" i="11"/>
  <c r="O56" i="11"/>
  <c r="O57" i="11"/>
  <c r="O59" i="11"/>
  <c r="K13" i="13"/>
  <c r="H48" i="14"/>
  <c r="H51" i="14" s="1"/>
  <c r="N51" i="14" s="1"/>
  <c r="N54" i="14" s="1"/>
  <c r="O15" i="13" s="1"/>
  <c r="O113" i="2"/>
  <c r="O114" i="2"/>
  <c r="O115" i="2"/>
  <c r="O116" i="2"/>
  <c r="O134" i="2"/>
  <c r="O135" i="2"/>
  <c r="O136" i="2"/>
  <c r="M8" i="2"/>
  <c r="M9" i="2"/>
  <c r="M10" i="2"/>
  <c r="A107" i="16"/>
  <c r="C13" i="13" s="1"/>
  <c r="A96" i="16"/>
  <c r="B81" i="1" s="1"/>
  <c r="A405" i="16"/>
  <c r="C12" i="17" s="1"/>
  <c r="A400" i="16"/>
  <c r="B7" i="17" s="1"/>
  <c r="A399" i="16"/>
  <c r="A406" i="16"/>
  <c r="A46" i="16"/>
  <c r="A419" i="16"/>
  <c r="C26" i="11" s="1"/>
  <c r="A163" i="16"/>
  <c r="C17" i="11" s="1"/>
  <c r="A417" i="16"/>
  <c r="C22" i="11" s="1"/>
  <c r="A164" i="16"/>
  <c r="B24" i="11" s="1"/>
  <c r="A258" i="16"/>
  <c r="A396" i="16"/>
  <c r="I53" i="10" s="1"/>
  <c r="A394" i="16"/>
  <c r="I26" i="10" s="1"/>
  <c r="A393" i="16"/>
  <c r="I7" i="10" s="1"/>
  <c r="A395" i="16"/>
  <c r="I44" i="10" s="1"/>
  <c r="A364" i="16"/>
  <c r="J9" i="1" s="1"/>
  <c r="A413" i="16"/>
  <c r="F38" i="1" s="1"/>
  <c r="A45" i="16"/>
  <c r="A84" i="16"/>
  <c r="A83" i="16"/>
  <c r="M35" i="10"/>
  <c r="A181" i="16"/>
  <c r="C58" i="10" s="1"/>
  <c r="M28" i="10"/>
  <c r="M29" i="10"/>
  <c r="M32" i="10"/>
  <c r="M33" i="10"/>
  <c r="M34" i="10"/>
  <c r="M36" i="10"/>
  <c r="M37" i="10"/>
  <c r="U27" i="13" s="1"/>
  <c r="A349" i="16"/>
  <c r="C28" i="10" s="1"/>
  <c r="A235" i="16"/>
  <c r="C13" i="10" s="1"/>
  <c r="A409" i="16"/>
  <c r="A407" i="16"/>
  <c r="A193" i="16"/>
  <c r="M44" i="11" s="1"/>
  <c r="A195" i="16"/>
  <c r="C59" i="11" s="1"/>
  <c r="A272" i="16"/>
  <c r="A273" i="16"/>
  <c r="A274" i="16"/>
  <c r="B68" i="11" s="1"/>
  <c r="Q3" i="17"/>
  <c r="M3" i="17"/>
  <c r="D3" i="17"/>
  <c r="D3" i="2"/>
  <c r="M3" i="2"/>
  <c r="Q3" i="2"/>
  <c r="A224" i="16"/>
  <c r="A230" i="16"/>
  <c r="C136" i="2" s="1"/>
  <c r="A228" i="16"/>
  <c r="C114" i="2" s="1"/>
  <c r="A358" i="16"/>
  <c r="M48" i="10"/>
  <c r="M47" i="10"/>
  <c r="M46" i="10"/>
  <c r="A57" i="16"/>
  <c r="C39" i="10" s="1"/>
  <c r="M20" i="10"/>
  <c r="M19" i="10"/>
  <c r="M18" i="10"/>
  <c r="M17" i="10"/>
  <c r="M16" i="10"/>
  <c r="M9" i="18"/>
  <c r="M10" i="18"/>
  <c r="M11" i="18"/>
  <c r="M12" i="18"/>
  <c r="M13" i="18"/>
  <c r="A250" i="16"/>
  <c r="K7" i="11" s="1"/>
  <c r="A397" i="16"/>
  <c r="C6" i="10" s="1"/>
  <c r="A392" i="16"/>
  <c r="A391" i="16"/>
  <c r="A390" i="16"/>
  <c r="A385" i="16"/>
  <c r="A384" i="16"/>
  <c r="A383" i="16"/>
  <c r="A382" i="16"/>
  <c r="A381" i="16"/>
  <c r="A380" i="16"/>
  <c r="A379" i="16"/>
  <c r="A377" i="16"/>
  <c r="A376" i="16"/>
  <c r="A375" i="16"/>
  <c r="A374" i="16"/>
  <c r="A373" i="16"/>
  <c r="A372" i="16"/>
  <c r="D23" i="18" s="1"/>
  <c r="A371" i="16"/>
  <c r="K6" i="18" s="1"/>
  <c r="A370" i="16"/>
  <c r="D6" i="18" s="1"/>
  <c r="A369" i="16"/>
  <c r="Q5" i="18" s="1"/>
  <c r="A367" i="16"/>
  <c r="D26" i="1" s="1"/>
  <c r="D24" i="1"/>
  <c r="A363" i="16"/>
  <c r="D9" i="1" s="1"/>
  <c r="M8" i="18"/>
  <c r="M14" i="18"/>
  <c r="M15" i="18"/>
  <c r="M16" i="18"/>
  <c r="M17" i="18"/>
  <c r="M18" i="18"/>
  <c r="M19" i="18"/>
  <c r="M20" i="18"/>
  <c r="M21" i="18"/>
  <c r="A361" i="16"/>
  <c r="A360" i="16"/>
  <c r="C14" i="18" s="1"/>
  <c r="A359" i="16"/>
  <c r="M64" i="10"/>
  <c r="A357" i="16"/>
  <c r="C64" i="10" s="1"/>
  <c r="M61" i="10"/>
  <c r="A355" i="16"/>
  <c r="A356" i="16"/>
  <c r="A354" i="16"/>
  <c r="C61" i="10" s="1"/>
  <c r="A352" i="16"/>
  <c r="A353" i="16"/>
  <c r="M14" i="10"/>
  <c r="A350" i="16"/>
  <c r="N11" i="10" s="1"/>
  <c r="A351" i="16"/>
  <c r="N12" i="10" s="1"/>
  <c r="A348" i="16"/>
  <c r="C12" i="10" s="1"/>
  <c r="K3" i="1"/>
  <c r="A333" i="16"/>
  <c r="D25" i="1" s="1"/>
  <c r="A330" i="16"/>
  <c r="C45" i="11" s="1"/>
  <c r="A329" i="16"/>
  <c r="B43" i="11" s="1"/>
  <c r="A116" i="16"/>
  <c r="A278" i="16"/>
  <c r="C25" i="18" s="1"/>
  <c r="A276" i="16"/>
  <c r="A275" i="16"/>
  <c r="B166" i="2" s="1"/>
  <c r="A38" i="16"/>
  <c r="N13" i="13"/>
  <c r="A24" i="16"/>
  <c r="C46" i="14" s="1"/>
  <c r="A200" i="16"/>
  <c r="A201" i="16"/>
  <c r="A202" i="16"/>
  <c r="A281" i="16"/>
  <c r="A115" i="16"/>
  <c r="A166" i="16"/>
  <c r="B110" i="2" s="1"/>
  <c r="A187" i="16"/>
  <c r="B15" i="2" s="1"/>
  <c r="A14" i="16"/>
  <c r="A15" i="16"/>
  <c r="M5" i="11" s="1"/>
  <c r="A17" i="16"/>
  <c r="C20" i="14" s="1"/>
  <c r="A18" i="16"/>
  <c r="A19" i="16"/>
  <c r="A20" i="16"/>
  <c r="C57" i="11" s="1"/>
  <c r="A22" i="16"/>
  <c r="C60" i="14" s="1"/>
  <c r="A23" i="16"/>
  <c r="C58" i="14" s="1"/>
  <c r="A25" i="16"/>
  <c r="A26" i="16"/>
  <c r="C47" i="13" s="1"/>
  <c r="A27" i="16"/>
  <c r="C46" i="13" s="1"/>
  <c r="A28" i="16"/>
  <c r="C45" i="13" s="1"/>
  <c r="A29" i="16"/>
  <c r="C56" i="11" s="1"/>
  <c r="A30" i="16"/>
  <c r="C48" i="13" s="1"/>
  <c r="A31" i="16"/>
  <c r="C55" i="11" s="1"/>
  <c r="A32" i="16"/>
  <c r="A33" i="16"/>
  <c r="A34" i="16"/>
  <c r="A36" i="16"/>
  <c r="A37" i="16"/>
  <c r="A40" i="16"/>
  <c r="C62" i="14" s="1"/>
  <c r="A41" i="16"/>
  <c r="C48" i="14" s="1"/>
  <c r="A42" i="16"/>
  <c r="C38" i="11" s="1"/>
  <c r="A43" i="16"/>
  <c r="C19" i="11" s="1"/>
  <c r="A44" i="16"/>
  <c r="C20" i="11" s="1"/>
  <c r="A47" i="16"/>
  <c r="C63" i="11" s="1"/>
  <c r="A48" i="16"/>
  <c r="C18" i="11" s="1"/>
  <c r="A49" i="16"/>
  <c r="C36" i="11" s="1"/>
  <c r="A50" i="16"/>
  <c r="A52" i="16"/>
  <c r="A53" i="16"/>
  <c r="P3" i="1" s="1"/>
  <c r="A54" i="16"/>
  <c r="F22" i="10" s="1"/>
  <c r="A56" i="16"/>
  <c r="C38" i="10" s="1"/>
  <c r="A60" i="16"/>
  <c r="C66" i="10" s="1"/>
  <c r="A61" i="16"/>
  <c r="A63" i="16"/>
  <c r="A64" i="16"/>
  <c r="C10" i="2" s="1"/>
  <c r="A65" i="16"/>
  <c r="C9" i="2" s="1"/>
  <c r="A66" i="16"/>
  <c r="A67" i="16"/>
  <c r="C9" i="13" s="1"/>
  <c r="A70" i="16"/>
  <c r="C113" i="2" s="1"/>
  <c r="A72" i="16"/>
  <c r="C133" i="2" s="1"/>
  <c r="A73" i="16"/>
  <c r="A74" i="16"/>
  <c r="B42" i="14" s="1"/>
  <c r="A75" i="16"/>
  <c r="B5" i="14" s="1"/>
  <c r="A76" i="16"/>
  <c r="A77" i="16"/>
  <c r="A78" i="16"/>
  <c r="A79" i="16"/>
  <c r="O10" i="1" s="1"/>
  <c r="A82" i="16"/>
  <c r="K53" i="11" s="1"/>
  <c r="A93" i="16"/>
  <c r="C29" i="13" s="1"/>
  <c r="A98" i="16"/>
  <c r="B5" i="10" s="1"/>
  <c r="A99" i="16"/>
  <c r="B8" i="10" s="1"/>
  <c r="A100" i="16"/>
  <c r="B83" i="2" s="1"/>
  <c r="A101" i="16"/>
  <c r="B27" i="10" s="1"/>
  <c r="A102" i="16"/>
  <c r="B45" i="10" s="1"/>
  <c r="A104" i="16"/>
  <c r="B5" i="18" s="1"/>
  <c r="A105" i="16"/>
  <c r="A106" i="16"/>
  <c r="C31" i="13" s="1"/>
  <c r="A108" i="16"/>
  <c r="B20" i="13" s="1"/>
  <c r="A109" i="16"/>
  <c r="A113" i="16"/>
  <c r="A117" i="16"/>
  <c r="B6" i="11" s="1"/>
  <c r="A119" i="16"/>
  <c r="B54" i="10" s="1"/>
  <c r="A158" i="16"/>
  <c r="A160" i="16"/>
  <c r="B51" i="11" s="1"/>
  <c r="A161" i="16"/>
  <c r="B35" i="11" s="1"/>
  <c r="A162" i="16"/>
  <c r="B16" i="11" s="1"/>
  <c r="A167" i="16"/>
  <c r="B122" i="2" s="1"/>
  <c r="A168" i="16"/>
  <c r="B112" i="2" s="1"/>
  <c r="A169" i="16"/>
  <c r="A170" i="16"/>
  <c r="C8" i="2" s="1"/>
  <c r="A171" i="16"/>
  <c r="C14" i="14" s="1"/>
  <c r="A172" i="16"/>
  <c r="C65" i="14" s="1"/>
  <c r="A173" i="16"/>
  <c r="A174" i="16"/>
  <c r="C51" i="14" s="1"/>
  <c r="A175" i="16"/>
  <c r="C55" i="14" s="1"/>
  <c r="A176" i="16"/>
  <c r="C43" i="14" s="1"/>
  <c r="A177" i="16"/>
  <c r="A178" i="16"/>
  <c r="B3" i="13" s="1"/>
  <c r="A179" i="16"/>
  <c r="C56" i="14" s="1"/>
  <c r="A180" i="16"/>
  <c r="F8" i="14" s="1"/>
  <c r="A182" i="16"/>
  <c r="C37" i="10" s="1"/>
  <c r="A183" i="16"/>
  <c r="C59" i="10" s="1"/>
  <c r="A185" i="16"/>
  <c r="C60" i="10" s="1"/>
  <c r="A186" i="16"/>
  <c r="C66" i="11" s="1"/>
  <c r="A192" i="16"/>
  <c r="I6" i="18" s="1"/>
  <c r="A194" i="16"/>
  <c r="A198" i="16"/>
  <c r="C54" i="11" s="1"/>
  <c r="A199" i="16"/>
  <c r="A203" i="16"/>
  <c r="A206" i="16"/>
  <c r="A207" i="16"/>
  <c r="O1" i="11" s="1"/>
  <c r="A208" i="16"/>
  <c r="Q1" i="1" s="1"/>
  <c r="A209" i="16"/>
  <c r="O1" i="10" s="1"/>
  <c r="A210" i="16"/>
  <c r="Q1" i="18" s="1"/>
  <c r="A211" i="16"/>
  <c r="Q1" i="2" s="1"/>
  <c r="A212" i="16"/>
  <c r="Q1" i="17" s="1"/>
  <c r="A213" i="16"/>
  <c r="O1" i="13" s="1"/>
  <c r="A214" i="16"/>
  <c r="P1" i="14" s="1"/>
  <c r="A215" i="16"/>
  <c r="B7" i="2" s="1"/>
  <c r="A216" i="16"/>
  <c r="D36" i="14" s="1"/>
  <c r="A217" i="16"/>
  <c r="A218" i="16"/>
  <c r="A219" i="16"/>
  <c r="M7" i="11" s="1"/>
  <c r="A220" i="16"/>
  <c r="C48" i="10" s="1"/>
  <c r="A221" i="16"/>
  <c r="A222" i="16"/>
  <c r="K52" i="11" s="1"/>
  <c r="A225" i="16"/>
  <c r="C135" i="2" s="1"/>
  <c r="A226" i="16"/>
  <c r="C30" i="14" s="1"/>
  <c r="A227" i="16"/>
  <c r="C32" i="14" s="1"/>
  <c r="A229" i="16"/>
  <c r="A232" i="16"/>
  <c r="C116" i="2" s="1"/>
  <c r="A233" i="16"/>
  <c r="B42" i="13" s="1"/>
  <c r="A234" i="16"/>
  <c r="A236" i="16"/>
  <c r="B24" i="13" s="1"/>
  <c r="A237" i="16"/>
  <c r="C11" i="13" s="1"/>
  <c r="A238" i="16"/>
  <c r="C16" i="13" s="1"/>
  <c r="A239" i="16"/>
  <c r="C15" i="13" s="1"/>
  <c r="A240" i="16"/>
  <c r="K25" i="13" s="1"/>
  <c r="A243" i="16"/>
  <c r="K28" i="13" s="1"/>
  <c r="A246" i="16"/>
  <c r="K31" i="13" s="1"/>
  <c r="A247" i="16"/>
  <c r="C44" i="14" s="1"/>
  <c r="A251" i="16"/>
  <c r="C66" i="14" s="1"/>
  <c r="A254" i="16"/>
  <c r="B49" i="11" s="1"/>
  <c r="A255" i="16"/>
  <c r="A256" i="16"/>
  <c r="C104" i="2" s="1"/>
  <c r="A259" i="16"/>
  <c r="C7" i="1" s="1"/>
  <c r="A260" i="16"/>
  <c r="A261" i="16"/>
  <c r="C18" i="14" s="1"/>
  <c r="A262" i="16"/>
  <c r="C36" i="10" s="1"/>
  <c r="A263" i="16"/>
  <c r="B6" i="2" s="1"/>
  <c r="A264" i="16"/>
  <c r="I7" i="11" s="1"/>
  <c r="A265" i="16"/>
  <c r="H8" i="14" s="1"/>
  <c r="A266" i="16"/>
  <c r="A267" i="16"/>
  <c r="C24" i="14" s="1"/>
  <c r="A268" i="16"/>
  <c r="C22" i="14" s="1"/>
  <c r="A283" i="16"/>
  <c r="C36" i="13" s="1"/>
  <c r="A284" i="16"/>
  <c r="C134" i="2" s="1"/>
  <c r="A285" i="16"/>
  <c r="A286" i="16"/>
  <c r="A290" i="16"/>
  <c r="J8" i="14" s="1"/>
  <c r="A291" i="16"/>
  <c r="E60" i="14" s="1"/>
  <c r="A292" i="16"/>
  <c r="A293" i="16"/>
  <c r="C28" i="14" s="1"/>
  <c r="A294" i="16"/>
  <c r="L3" i="2" s="1"/>
  <c r="A295" i="16"/>
  <c r="A296" i="16"/>
  <c r="A297" i="16"/>
  <c r="A298" i="16"/>
  <c r="A299" i="16"/>
  <c r="A300" i="16"/>
  <c r="A301" i="16"/>
  <c r="A302" i="16"/>
  <c r="A303" i="16"/>
  <c r="A304" i="16"/>
  <c r="N9" i="10" s="1"/>
  <c r="A305" i="16"/>
  <c r="A306" i="16"/>
  <c r="A307" i="16"/>
  <c r="A309" i="16"/>
  <c r="A310" i="16"/>
  <c r="A311" i="16"/>
  <c r="A312" i="16"/>
  <c r="A313" i="16"/>
  <c r="G33" i="10" s="1"/>
  <c r="A314" i="16"/>
  <c r="A321" i="16"/>
  <c r="C20" i="10" s="1"/>
  <c r="A324" i="16"/>
  <c r="G32" i="10" s="1"/>
  <c r="A327" i="16"/>
  <c r="C69" i="14" s="1"/>
  <c r="D3" i="14"/>
  <c r="J3" i="14"/>
  <c r="N3" i="14"/>
  <c r="D3" i="13"/>
  <c r="K3" i="13"/>
  <c r="O3" i="13"/>
  <c r="D3" i="18"/>
  <c r="M3" i="18"/>
  <c r="Q3" i="18"/>
  <c r="M7" i="18"/>
  <c r="D3" i="10"/>
  <c r="K3" i="10"/>
  <c r="O3" i="10"/>
  <c r="M9" i="10"/>
  <c r="M10" i="10"/>
  <c r="M13" i="10"/>
  <c r="M15" i="10"/>
  <c r="M55" i="10"/>
  <c r="M56" i="10"/>
  <c r="M57" i="10"/>
  <c r="M58" i="10"/>
  <c r="M59" i="10"/>
  <c r="M60" i="10"/>
  <c r="M62" i="10"/>
  <c r="M63" i="10"/>
  <c r="M65" i="10"/>
  <c r="M66" i="10"/>
  <c r="D3" i="1"/>
  <c r="Q3" i="1"/>
  <c r="O41" i="11"/>
  <c r="M13" i="13"/>
  <c r="I29" i="11"/>
  <c r="M29" i="11" s="1"/>
  <c r="O32" i="11" s="1"/>
  <c r="O23" i="11" l="1"/>
  <c r="Q25" i="18"/>
  <c r="O28" i="13" s="1"/>
  <c r="O15" i="11"/>
  <c r="M7" i="10"/>
  <c r="O50" i="1"/>
  <c r="M6" i="18"/>
  <c r="C15" i="1"/>
  <c r="M50" i="1"/>
  <c r="J38" i="14"/>
  <c r="D60" i="14" s="1"/>
  <c r="H60" i="14" s="1"/>
  <c r="H62" i="14" s="1"/>
  <c r="H65" i="14" s="1"/>
  <c r="I15" i="17"/>
  <c r="K158" i="2"/>
  <c r="M103" i="2"/>
  <c r="M15" i="17"/>
  <c r="O158" i="2"/>
  <c r="O38" i="13"/>
  <c r="Q22" i="17"/>
  <c r="C10" i="11"/>
  <c r="O162" i="2"/>
  <c r="O154" i="2"/>
  <c r="O79" i="2"/>
  <c r="Q81" i="1"/>
  <c r="O33" i="13" s="1"/>
  <c r="Q155" i="2"/>
  <c r="O51" i="10"/>
  <c r="U36" i="13"/>
  <c r="O68" i="2"/>
  <c r="O45" i="2"/>
  <c r="O63" i="2"/>
  <c r="O53" i="2"/>
  <c r="O38" i="2"/>
  <c r="Q13" i="2"/>
  <c r="Q141" i="2"/>
  <c r="G86" i="2"/>
  <c r="M31" i="11"/>
  <c r="O28" i="2"/>
  <c r="O33" i="2"/>
  <c r="O22" i="2"/>
  <c r="C87" i="2"/>
  <c r="C53" i="1"/>
  <c r="C25" i="13"/>
  <c r="Q6" i="2"/>
  <c r="C17" i="18"/>
  <c r="O34" i="1"/>
  <c r="Q26" i="17"/>
  <c r="O6" i="13"/>
  <c r="Q103" i="2"/>
  <c r="Q6" i="17"/>
  <c r="O7" i="10"/>
  <c r="Q50" i="1"/>
  <c r="H99" i="2"/>
  <c r="M10" i="1"/>
  <c r="C32" i="1"/>
  <c r="O25" i="10"/>
  <c r="C32" i="10"/>
  <c r="Q36" i="13"/>
  <c r="O106" i="2"/>
  <c r="O44" i="11"/>
  <c r="C22" i="10"/>
  <c r="P3" i="2"/>
  <c r="M41" i="10"/>
  <c r="M40" i="11"/>
  <c r="P3" i="18"/>
  <c r="C93" i="2"/>
  <c r="L20" i="1"/>
  <c r="M3" i="14"/>
  <c r="E50" i="1"/>
  <c r="O52" i="11"/>
  <c r="F39" i="10"/>
  <c r="M50" i="10"/>
  <c r="O140" i="2"/>
  <c r="C33" i="10"/>
  <c r="C56" i="10"/>
  <c r="O12" i="2"/>
  <c r="C47" i="10"/>
  <c r="M68" i="10"/>
  <c r="C16" i="14"/>
  <c r="C47" i="11"/>
  <c r="K7" i="10"/>
  <c r="C65" i="10"/>
  <c r="J3" i="11"/>
  <c r="C18" i="10"/>
  <c r="C30" i="10"/>
  <c r="C34" i="10"/>
  <c r="I6" i="2"/>
  <c r="K103" i="2"/>
  <c r="C54" i="1"/>
  <c r="C16" i="10"/>
  <c r="C30" i="13"/>
  <c r="C15" i="10"/>
  <c r="M52" i="11"/>
  <c r="C11" i="11"/>
  <c r="C63" i="10"/>
  <c r="N3" i="10"/>
  <c r="K86" i="2"/>
  <c r="P3" i="17"/>
  <c r="B5" i="1"/>
  <c r="B5" i="2"/>
  <c r="K30" i="1"/>
  <c r="O30" i="1" s="1"/>
  <c r="C140" i="2"/>
  <c r="I86" i="2"/>
  <c r="B3" i="14"/>
  <c r="C115" i="2"/>
  <c r="K44" i="11"/>
  <c r="B5" i="13"/>
  <c r="I3" i="14"/>
  <c r="O61" i="1"/>
  <c r="M22" i="11"/>
  <c r="Q86" i="2"/>
  <c r="P21" i="1"/>
  <c r="C12" i="14"/>
  <c r="K33" i="13"/>
  <c r="O56" i="1"/>
  <c r="C10" i="10"/>
  <c r="M14" i="11"/>
  <c r="C8" i="18"/>
  <c r="C28" i="13"/>
  <c r="D10" i="1"/>
  <c r="G50" i="1"/>
  <c r="C27" i="13"/>
  <c r="C11" i="18"/>
  <c r="C31" i="1"/>
  <c r="M12" i="17"/>
  <c r="C13" i="1"/>
  <c r="C9" i="11"/>
  <c r="M24" i="10"/>
  <c r="C20" i="18"/>
  <c r="O118" i="2"/>
  <c r="C29" i="10"/>
  <c r="Q17" i="1"/>
  <c r="Q22" i="1" s="1"/>
  <c r="L3" i="18"/>
  <c r="J3" i="1"/>
  <c r="O49" i="11"/>
  <c r="O68" i="11" s="1"/>
  <c r="O25" i="13" s="1"/>
  <c r="J3" i="10"/>
  <c r="C14" i="10"/>
  <c r="C57" i="10"/>
  <c r="H66" i="10"/>
  <c r="D17" i="1"/>
  <c r="D19" i="1"/>
  <c r="C52" i="1"/>
  <c r="O35" i="1"/>
  <c r="O42" i="10"/>
  <c r="O13" i="13"/>
  <c r="G17" i="10"/>
  <c r="G21" i="10"/>
  <c r="C55" i="10"/>
  <c r="C46" i="10"/>
  <c r="C62" i="10"/>
  <c r="C19" i="10"/>
  <c r="B3" i="18"/>
  <c r="B3" i="2"/>
  <c r="B3" i="10"/>
  <c r="B3" i="11"/>
  <c r="E1" i="11"/>
  <c r="F1" i="17"/>
  <c r="G1" i="1"/>
  <c r="C15" i="18"/>
  <c r="C16" i="18"/>
  <c r="C7" i="18"/>
  <c r="C21" i="18"/>
  <c r="C33" i="1"/>
  <c r="F38" i="10"/>
  <c r="C12" i="18"/>
  <c r="C9" i="18"/>
  <c r="C13" i="18"/>
  <c r="B3" i="1"/>
  <c r="I103" i="2"/>
  <c r="K111" i="2"/>
  <c r="C8" i="11"/>
  <c r="C12" i="1"/>
  <c r="C88" i="2"/>
  <c r="C51" i="1"/>
  <c r="K59" i="1"/>
  <c r="K68" i="1"/>
  <c r="K28" i="1"/>
  <c r="K6" i="2"/>
  <c r="I10" i="1"/>
  <c r="F1" i="2"/>
  <c r="C90" i="2"/>
  <c r="C10" i="18"/>
  <c r="C19" i="18"/>
  <c r="F1" i="18"/>
  <c r="D1" i="14"/>
  <c r="B3" i="17"/>
  <c r="C18" i="18"/>
  <c r="M111" i="2"/>
  <c r="K16" i="17"/>
  <c r="C11" i="10"/>
  <c r="C31" i="10"/>
  <c r="K30" i="13"/>
  <c r="K34" i="13"/>
  <c r="C34" i="13"/>
  <c r="B25" i="17"/>
  <c r="C38" i="14"/>
  <c r="C17" i="1"/>
  <c r="P95" i="2"/>
  <c r="Q19" i="1"/>
  <c r="O111" i="2"/>
  <c r="M6" i="2"/>
  <c r="M6" i="13"/>
  <c r="C92" i="2"/>
  <c r="C12" i="11"/>
  <c r="C16" i="1"/>
  <c r="M59" i="1"/>
  <c r="M68" i="1"/>
  <c r="V11" i="1"/>
  <c r="C19" i="13"/>
  <c r="G19" i="10"/>
  <c r="L3" i="17"/>
  <c r="J3" i="13"/>
  <c r="N3" i="11"/>
  <c r="N3" i="13"/>
  <c r="C36" i="1"/>
  <c r="M19" i="17"/>
  <c r="E1" i="10"/>
  <c r="E1" i="13"/>
  <c r="C168" i="2"/>
  <c r="C29" i="18"/>
  <c r="C49" i="13"/>
  <c r="C32" i="17"/>
  <c r="C83" i="1"/>
  <c r="C80" i="10"/>
  <c r="C70" i="11"/>
  <c r="O69" i="10"/>
  <c r="C17" i="10"/>
  <c r="C9" i="10"/>
  <c r="C35" i="10"/>
  <c r="Q119" i="2"/>
  <c r="M63" i="11"/>
  <c r="G16" i="10"/>
  <c r="C77" i="1"/>
  <c r="E93" i="2"/>
  <c r="Q92" i="2"/>
  <c r="Q91" i="2"/>
  <c r="K93" i="2"/>
  <c r="Q89" i="2"/>
  <c r="Q88" i="2"/>
  <c r="Q87" i="2"/>
  <c r="I93" i="2"/>
  <c r="Q90" i="2"/>
  <c r="B67" i="1"/>
  <c r="K104" i="2" l="1"/>
  <c r="N65" i="14"/>
  <c r="O16" i="13" s="1"/>
  <c r="O20" i="13" s="1"/>
  <c r="O31" i="13" s="1"/>
  <c r="N66" i="14"/>
  <c r="M33" i="1"/>
  <c r="M32" i="1"/>
  <c r="O72" i="10"/>
  <c r="O27" i="13" s="1"/>
  <c r="K39" i="1"/>
  <c r="Q80" i="2" s="1"/>
  <c r="Q93" i="2"/>
  <c r="Q99" i="2" s="1"/>
  <c r="I104" i="2" s="1"/>
  <c r="Q21" i="1"/>
  <c r="O30" i="13"/>
  <c r="D39" i="1" l="1"/>
  <c r="D40" i="1" s="1"/>
  <c r="M104" i="2"/>
  <c r="Q107" i="2" s="1"/>
  <c r="Q166" i="2" s="1"/>
  <c r="Q98" i="2"/>
  <c r="I53" i="1"/>
  <c r="K52" i="1"/>
  <c r="I52" i="1"/>
  <c r="I51" i="1"/>
  <c r="O33" i="1"/>
  <c r="K55" i="1"/>
  <c r="K53" i="1"/>
  <c r="K51" i="1"/>
  <c r="I55" i="1"/>
  <c r="O32" i="1"/>
  <c r="K54" i="1"/>
  <c r="I54" i="1"/>
  <c r="O53" i="1" l="1"/>
  <c r="O29" i="13"/>
  <c r="O51" i="1"/>
  <c r="O39" i="1"/>
  <c r="O55" i="1"/>
  <c r="O52" i="1"/>
  <c r="O54" i="1"/>
  <c r="D41" i="1"/>
  <c r="D42" i="1" l="1"/>
  <c r="D43" i="1" l="1"/>
  <c r="D44" i="1" s="1"/>
  <c r="I39" i="1" l="1"/>
  <c r="O40" i="1" s="1"/>
  <c r="Q57" i="1" s="1"/>
  <c r="Q64" i="1" s="1"/>
  <c r="O26" i="13" l="1"/>
  <c r="O36" i="13" s="1"/>
</calcChain>
</file>

<file path=xl/sharedStrings.xml><?xml version="1.0" encoding="utf-8"?>
<sst xmlns="http://schemas.openxmlformats.org/spreadsheetml/2006/main" count="1996" uniqueCount="1485">
  <si>
    <t>LN, ha*</t>
  </si>
  <si>
    <t>Rebfläche in Steil- und Terrassenlagen</t>
  </si>
  <si>
    <t>Reben in Terrassen</t>
  </si>
  <si>
    <t>TZ &amp; HZ: 2500</t>
  </si>
  <si>
    <t>TZ &amp; HZ: 4000</t>
  </si>
  <si>
    <t>TZ, HZ, BZ I-II: 1000</t>
  </si>
  <si>
    <t>TZ: 3200; HZ: 2900</t>
  </si>
  <si>
    <t>Z P: 900; ZC: 750; 
ZM 1-2: 500; ZM 3-4: 350</t>
  </si>
  <si>
    <t>BZ III-IV: 500</t>
  </si>
  <si>
    <t>Bergzone I</t>
  </si>
  <si>
    <t>Bergzone II</t>
  </si>
  <si>
    <t>Bergzone III</t>
  </si>
  <si>
    <t>Bergzone IV</t>
  </si>
  <si>
    <t>TZ bis BZ II</t>
  </si>
  <si>
    <t>TZ und HZ</t>
  </si>
  <si>
    <t>TZ, HZ, BZ I-II</t>
  </si>
  <si>
    <t xml:space="preserve">  Zuschlag für Biolandbau</t>
  </si>
  <si>
    <t>Summe der Beiträge</t>
  </si>
  <si>
    <t>Zone de plaine</t>
  </si>
  <si>
    <t>Porcs d'élevage et d'engraissement, sauf porcs allaités</t>
  </si>
  <si>
    <t>Truies d'élevage non-allaitantes</t>
  </si>
  <si>
    <t>)     +     (</t>
  </si>
  <si>
    <t>Mindesttierbesatz/ha auf Kunstwiese und Dauergrünfläche ausser BFF</t>
  </si>
  <si>
    <t>Mindestanteil erfüllt</t>
  </si>
  <si>
    <t>Ration Mindestanteil erfüllt für GMF</t>
  </si>
  <si>
    <t>Flächen mit Mindesttierbesatzanforderung (wie in Register "Versorgungssicherheit" eingegeben)</t>
  </si>
  <si>
    <t>Mindestanteile von Wiesen-, Weide- und Grundfutter in der Ration der Raufutterverzehrer</t>
  </si>
  <si>
    <t>Grünland</t>
  </si>
  <si>
    <t>angestammtes Grünland im Ausland</t>
  </si>
  <si>
    <t>angestammte offene Ackerflächen und Dauerkulturen im Ausland</t>
  </si>
  <si>
    <t>offene Ackerfläche und Dauerkulturen (im In- und Ausland)</t>
  </si>
  <si>
    <t>Direktzahlungen der EU für Fläche im Ausland (im Vorjahr)</t>
  </si>
  <si>
    <t>Beitrag insgesamt (Fr.)</t>
  </si>
  <si>
    <t xml:space="preserve">-  </t>
  </si>
  <si>
    <t>moutons et chèvres &gt;1 an, agneaux de pâturage, lapins</t>
  </si>
  <si>
    <t>ZP à ZM2</t>
  </si>
  <si>
    <t>-</t>
  </si>
  <si>
    <t>Calcul des unités de main-d'œuvre standard (UMOS)</t>
  </si>
  <si>
    <t>ha resp. UGB</t>
  </si>
  <si>
    <t>UMOS</t>
  </si>
  <si>
    <t xml:space="preserve">   Supplément pour culture biologique</t>
  </si>
  <si>
    <t>Cultures spéciales sans les surf. viticoles en forte pente et en terasses</t>
  </si>
  <si>
    <t>Surfaces viticoles en forte pente et en terrasses</t>
  </si>
  <si>
    <t>Vaches laitières, brebis laitières et chèvres laitières</t>
  </si>
  <si>
    <t>Porcs à l'engrais, porcs de renouvellement de plus de 25 kg et porcelets sevrés</t>
  </si>
  <si>
    <t>Porcs d'élevage</t>
  </si>
  <si>
    <t>a)</t>
  </si>
  <si>
    <t>Déductions pour le revenu :</t>
  </si>
  <si>
    <t>Revenu imposable IFD</t>
  </si>
  <si>
    <t>- Déduction pour exploitant marié (Fr. 50'000.-)</t>
  </si>
  <si>
    <t>= Revenu déterminant</t>
  </si>
  <si>
    <t>(</t>
  </si>
  <si>
    <t>Déductions pour la fortune :</t>
  </si>
  <si>
    <t>Fortune imposable</t>
  </si>
  <si>
    <t>- Déduction pour exploitant marié (Fr. 340'000.-)</t>
  </si>
  <si>
    <t>UMOS x</t>
  </si>
  <si>
    <t>= Fortune déterminante</t>
  </si>
  <si>
    <t>+</t>
  </si>
  <si>
    <t>Contribution de base</t>
  </si>
  <si>
    <t>SAU, ha*</t>
  </si>
  <si>
    <t>*Surfaces donnant droit aux contributions: SAU (hors haies, bosquets champêtres et berges boisées)</t>
  </si>
  <si>
    <t>cultures des champs respectueuses de la faune sauvage</t>
  </si>
  <si>
    <t>Surfaces herbagères</t>
  </si>
  <si>
    <t>UGBFG min.</t>
  </si>
  <si>
    <t>Surface* (ha)</t>
  </si>
  <si>
    <t>*Surfaces donnant droit aux contributions: SAU, SEA et surfaces d'estivage</t>
  </si>
  <si>
    <t>*Conditions pas encore définies</t>
  </si>
  <si>
    <t>Paiements directs 7</t>
  </si>
  <si>
    <t>Paiements directs 8</t>
  </si>
  <si>
    <t>- Exploitation paysanne cultivant le sol</t>
  </si>
  <si>
    <t>- Part minimale de main-d'œuvre propre à l'exploitation (50%)</t>
  </si>
  <si>
    <t>- Limite d'âge (65 ans)</t>
  </si>
  <si>
    <t>Sprache</t>
  </si>
  <si>
    <t>Deutsch</t>
  </si>
  <si>
    <t>Français</t>
  </si>
  <si>
    <t>3. Pulvérisateur à jets projetés avec flux d’air horizontal orientable et détecteur de végétation, ou pulvérisateur sous tunnel: 25% des coûts d'acquisition, jusqu'à un maximum de Fr. 10'000.-</t>
  </si>
  <si>
    <t xml:space="preserve"> *Beitragsberechtigte LN (vgl. Definition im Register Übergang), ohne Hecken, Feld- und Ufergehölze</t>
  </si>
  <si>
    <t>Talzone statt Talgebiet; erst -&gt; weglassen</t>
  </si>
  <si>
    <t>Beitragsberechtigte LN (vgl. Definition im Register Übergang)</t>
  </si>
  <si>
    <t>Lineare Ansatzberechnung (100 Fr. + (d in % x 12.857 Fr.)</t>
  </si>
  <si>
    <t>Beitragsberechtige Fläche &gt; 35% Neigung*</t>
  </si>
  <si>
    <t>Surface donnant droit aux contributions &gt; 35% de pente*</t>
  </si>
  <si>
    <t>* Alle Flächen, die zu Hangbeiträgen berechtigen</t>
  </si>
  <si>
    <t>- ständige Behirtung oder Umtriebsweide mit Herdenschutzmassnahmen</t>
  </si>
  <si>
    <t xml:space="preserve">  Sömmerungsdauer von 56 - 100 Tagen (pro GVE)</t>
  </si>
  <si>
    <t xml:space="preserve">  une durée d’estivage de 56 - 100 jours (charge usuelle exprimée en UGB)</t>
  </si>
  <si>
    <t>BFF Grünland (1)</t>
  </si>
  <si>
    <t>SPB herbagères (1)</t>
  </si>
  <si>
    <t>SPB foraggiera (1)</t>
  </si>
  <si>
    <t>offene Ackerfläche und Dauerkulturen</t>
  </si>
  <si>
    <t>Terres ouvertes et cultures pérennes</t>
  </si>
  <si>
    <t>Terre aperte e colture perenni</t>
  </si>
  <si>
    <t>ha</t>
  </si>
  <si>
    <t>* Pour les noyers qui sont en 2013 en période d'engagement (durée de 6 ans),</t>
  </si>
  <si>
    <t>* Für Nussbäume, die 2013 in einer Verpflichtungsdauer (6 Jahre) sind,</t>
  </si>
  <si>
    <t>Produktionssystembeiträge (PSB, Art. 65 bis 76 und Anhang 7 DZV)</t>
  </si>
  <si>
    <t>Contributions au système de production (CSP, Art. 65 à 76 et Annexe 7 OPD)</t>
  </si>
  <si>
    <t>Contributi per i sistemi di produzione (CSP, art. 65-76 e Allegato 7 OPD)</t>
  </si>
  <si>
    <t>Talgebiet: Mind. 75% Wiesen- und Weidefutter in TS; mind. 90% Grundfutter in TS
Berggebiet: Mind. 85% Wiesen- und Weidefutter in TS</t>
  </si>
  <si>
    <t>Région de plaine: min. 75% de la MS de fourrages provenant de prairies ou de pâturages; min. 90% de la MS en fourrages de base - Région de montagne: min. 85% de la MS de fourrages provenant de prairies ou de pâturages</t>
  </si>
  <si>
    <t>Regione di pianura: min. 75% della SS della razione proveniente dai prati e dai pascoli; min. 90% della SS dai foraggi di base - Regioni di montagna: min. 85% della razione proveniente da prati e dai pascoli</t>
  </si>
  <si>
    <t>Tiere der Rindergattung und Wasserbüffel bis 160 Tage</t>
  </si>
  <si>
    <t>Betrag (Fr.)</t>
  </si>
  <si>
    <t>Montant (Fr.)</t>
  </si>
  <si>
    <t>Fläche (ha)</t>
  </si>
  <si>
    <t>Surface (ha)</t>
  </si>
  <si>
    <t>superficie (ha)</t>
  </si>
  <si>
    <t>Texte</t>
  </si>
  <si>
    <t>Textes</t>
  </si>
  <si>
    <t>Sprache:</t>
  </si>
  <si>
    <t>Langue:</t>
  </si>
  <si>
    <t>Betrieb:</t>
  </si>
  <si>
    <t>Jahr:</t>
  </si>
  <si>
    <t>GVE</t>
  </si>
  <si>
    <t>UGB</t>
  </si>
  <si>
    <t>Schweine</t>
  </si>
  <si>
    <t>Geflügel</t>
  </si>
  <si>
    <t>Raps</t>
  </si>
  <si>
    <t>Reben</t>
  </si>
  <si>
    <t>Anzahl</t>
  </si>
  <si>
    <t>autres SCE situées sur la SAU</t>
  </si>
  <si>
    <t>ZP, ZC, ZM 1-2</t>
  </si>
  <si>
    <t>ZP et ZC</t>
  </si>
  <si>
    <t>arbres isolés adaptés au site et allées d'arbres</t>
  </si>
  <si>
    <t>**plafonnements identiques à PA 2011 (UMOS actualisés)</t>
  </si>
  <si>
    <t xml:space="preserve">= </t>
  </si>
  <si>
    <t>Déduction pour la part de revenu &gt; 124'444 :</t>
  </si>
  <si>
    <t xml:space="preserve">Z P&amp;ZC: 2500; </t>
  </si>
  <si>
    <t xml:space="preserve">Z P&amp;ZC: 4000; </t>
  </si>
  <si>
    <t>Z P, ZC, ZM 1.2: 1000; 
ZM3-4: 700</t>
  </si>
  <si>
    <t xml:space="preserve">Z P: 3200; ZC: 2900; </t>
  </si>
  <si>
    <r>
      <t xml:space="preserve">Z P, ZC, ZM 1.2: 1000; </t>
    </r>
    <r>
      <rPr>
        <sz val="10"/>
        <color indexed="8"/>
        <rFont val="Calibri"/>
        <family val="2"/>
      </rPr>
      <t xml:space="preserve"> </t>
    </r>
  </si>
  <si>
    <t>ZM3-4: 500</t>
  </si>
  <si>
    <t>Paiements directs 5</t>
  </si>
  <si>
    <t>Paiements directs 6</t>
  </si>
  <si>
    <t>Paiements directs 1</t>
  </si>
  <si>
    <t/>
  </si>
  <si>
    <t>Variante:</t>
  </si>
  <si>
    <t>Sous-total</t>
  </si>
  <si>
    <t>Total (Fr.)</t>
  </si>
  <si>
    <t>x</t>
  </si>
  <si>
    <t>=</t>
  </si>
  <si>
    <t>cultures spéciales</t>
  </si>
  <si>
    <t>autres terres ouvertes</t>
  </si>
  <si>
    <t>céréales fourragères</t>
  </si>
  <si>
    <t>terrains</t>
  </si>
  <si>
    <t>18 - 35 % déclivité</t>
  </si>
  <si>
    <t>vigne</t>
  </si>
  <si>
    <t>30 - 50 % déclivité</t>
  </si>
  <si>
    <t>vigne en terrasse</t>
  </si>
  <si>
    <t>Paiements directs 2</t>
  </si>
  <si>
    <t>Exploitation:</t>
  </si>
  <si>
    <t>Année:</t>
  </si>
  <si>
    <t>UGBFG</t>
  </si>
  <si>
    <t>Zone des collines</t>
  </si>
  <si>
    <t>Zone montagne 1</t>
  </si>
  <si>
    <t>Zone montagne 2</t>
  </si>
  <si>
    <t>Zone montagne 3</t>
  </si>
  <si>
    <t>Zone montagne 4</t>
  </si>
  <si>
    <t>Taux (Fr.)</t>
  </si>
  <si>
    <t>Part (Fr.)</t>
  </si>
  <si>
    <t>Porcs</t>
  </si>
  <si>
    <t>Volaille</t>
  </si>
  <si>
    <t>Paiements directs 3</t>
  </si>
  <si>
    <t>Total</t>
  </si>
  <si>
    <t>) x</t>
  </si>
  <si>
    <t>Paiements directs 4</t>
  </si>
  <si>
    <t>Somme contributions</t>
  </si>
  <si>
    <t>Calcul taux de contribution:</t>
  </si>
  <si>
    <t xml:space="preserve"> - autres animaux</t>
  </si>
  <si>
    <t>Montant Fr./unité</t>
  </si>
  <si>
    <t xml:space="preserve"> - animaux traits, estivés de 56 à 100 jours</t>
  </si>
  <si>
    <t>- autres pâturages</t>
  </si>
  <si>
    <t>- pâturages tournants</t>
  </si>
  <si>
    <t>nombre</t>
  </si>
  <si>
    <t>Ansatz (Fr.)</t>
  </si>
  <si>
    <t>Zwischentotal</t>
  </si>
  <si>
    <t>18 - 35 % Neigung</t>
  </si>
  <si>
    <t>30 - 50 % Neigung</t>
  </si>
  <si>
    <t>Talzone</t>
  </si>
  <si>
    <t>Hügelzone</t>
  </si>
  <si>
    <t>Anteil (Fr.)</t>
  </si>
  <si>
    <t>ha bzw. GVE</t>
  </si>
  <si>
    <t>Ansatz/Einheit</t>
  </si>
  <si>
    <t>Taux/unité</t>
  </si>
  <si>
    <t>Mastschweine, Remonten über 25 kg und abgesetzte Ferkel</t>
  </si>
  <si>
    <t>Zuchtschweine</t>
  </si>
  <si>
    <t>Spezialkulturen</t>
  </si>
  <si>
    <t>Direktzahlungen 1</t>
  </si>
  <si>
    <t>Direktzahlungen 2</t>
  </si>
  <si>
    <t>Bäume</t>
  </si>
  <si>
    <t>ZM 3 - 4</t>
  </si>
  <si>
    <t>TZ &amp; HZ: 4500; 
BZ I-II: 4100; BZ III - IV: 3900</t>
  </si>
  <si>
    <t>TZ, HZ, BZ I-II: 1000; 
BZ III-IV: 700</t>
  </si>
  <si>
    <t>arbres</t>
  </si>
  <si>
    <t>Fläche* (ha)</t>
  </si>
  <si>
    <t>Direktzahlungen 8</t>
  </si>
  <si>
    <t>SAK x</t>
  </si>
  <si>
    <t>moutons, brebis laitières exceptées:</t>
  </si>
  <si>
    <t>Schafe, ausgenommen Milchschafe:</t>
  </si>
  <si>
    <t>autres UGBFG :</t>
  </si>
  <si>
    <t>andere RGVE</t>
  </si>
  <si>
    <t xml:space="preserve">- gemolkene Tiere, Sömmerungsdauer 56 bis 100 Tage </t>
  </si>
  <si>
    <t>Steuerbares Einkommen (dir. Bundessteuer)</t>
  </si>
  <si>
    <t>Contribution pour la protection de l'eau art. 62a LEaux</t>
  </si>
  <si>
    <t>Beitrag für den Gewässerschutz Art. 62a GSchG</t>
  </si>
  <si>
    <t>Beitrag für die nachhaltige Nutzung der Ressourcen Art. 77a und 77b LwG</t>
  </si>
  <si>
    <t>par ha SAU</t>
  </si>
  <si>
    <t>pro ha LN</t>
  </si>
  <si>
    <t>par pâquier normal</t>
  </si>
  <si>
    <t>pro Normalstoss</t>
  </si>
  <si>
    <t>ha oder NST</t>
  </si>
  <si>
    <t>*Beitragsberechtigte Fläche: LN, Landw. Pflegeflächen (LP) und Sömmerungsflächen</t>
  </si>
  <si>
    <t>ha ou PN</t>
  </si>
  <si>
    <t>ZM1-2:2100;ZM3-4:1900</t>
  </si>
  <si>
    <t>Z P&amp;ZC: 4500; 
ZM1-2: 4100;ZM3-4:3900</t>
  </si>
  <si>
    <t>ZM1-2:3500;ZM3-4:3400</t>
  </si>
  <si>
    <t>BZ I-II:2100;BZ III-IV:1900</t>
  </si>
  <si>
    <t>BZ I-II:3500;BZ III-IV:3400</t>
  </si>
  <si>
    <t>Total Kulturlandschaftsbeiträge</t>
  </si>
  <si>
    <t>Total contributions au paysage cultivé</t>
  </si>
  <si>
    <t>Charge minimale en bétail atteinte:</t>
  </si>
  <si>
    <t>oui</t>
  </si>
  <si>
    <t>ja</t>
  </si>
  <si>
    <t>non</t>
  </si>
  <si>
    <t>nein</t>
  </si>
  <si>
    <t>Hangbeitrag für Rebflächen</t>
  </si>
  <si>
    <t>Contribution pour les surfaces viticoles en pente</t>
  </si>
  <si>
    <t>Sömmerungsbeitrag</t>
  </si>
  <si>
    <t>Contribution d’estivage</t>
  </si>
  <si>
    <t>&gt; 30 % Neigung in Terassenlagen</t>
  </si>
  <si>
    <t>&gt; 30 % déclivité en terrasses</t>
  </si>
  <si>
    <t>- übrige Weiden</t>
  </si>
  <si>
    <t>Grünflächen</t>
  </si>
  <si>
    <t>RGVE</t>
  </si>
  <si>
    <t>RGVE min.</t>
  </si>
  <si>
    <t>Vernetzungsbeitrag</t>
  </si>
  <si>
    <t>Contribution mise en réseau</t>
  </si>
  <si>
    <t>Biologischer Landbau</t>
  </si>
  <si>
    <t>Agriculture biologique</t>
  </si>
  <si>
    <t>übrige offene Ackerfläche</t>
  </si>
  <si>
    <t>übrige landwirtschaftliche Nutzfläche</t>
  </si>
  <si>
    <t>autres surfaces agricoles utiles</t>
  </si>
  <si>
    <t>Getreide (ohne Körnermais)</t>
  </si>
  <si>
    <t>Contributions au bien-être des animaux</t>
  </si>
  <si>
    <t>Tierwohlbeiträge</t>
  </si>
  <si>
    <t>Besonders tierfreundliche Stallhaltungssysteme (BTS)</t>
  </si>
  <si>
    <t>UMOS 2013</t>
  </si>
  <si>
    <t>Choix pour le calcul</t>
  </si>
  <si>
    <t>Contributions à la sécurité de l'approvisionnement sans prise en compte de la charge minimale en bétail</t>
  </si>
  <si>
    <t>Total contributions à la sécurité de l'approvisionnement sans prise en compte de la charge minimale en bétail</t>
  </si>
  <si>
    <t>pour le calcul de la contribution de transition</t>
  </si>
  <si>
    <t>Classes de surface</t>
  </si>
  <si>
    <t>Echelonnement selon le nombre d'exploitations</t>
  </si>
  <si>
    <t>Une décision, sur le principe et la manière d'adapter les facteurs UMOS, doit être prise seulement après la réception du rapport relatif au postulat Leo Müller (12.3906). Le rapport, qui évalue le système actuel et proposera des alternatives possibles, doit être achevé en début d'année 2014. En attendant les facteurs UMOS actuels de 2013 font foi.</t>
  </si>
  <si>
    <t>Einzelbetrieb oder Betriebsgemeinschaft</t>
  </si>
  <si>
    <t>Einzelbetrieb</t>
  </si>
  <si>
    <t>BG mit 2 Betrieben</t>
  </si>
  <si>
    <t>BG mit 3 Betrieben</t>
  </si>
  <si>
    <t>BG mit 4 Betrieben</t>
  </si>
  <si>
    <t>BG mit 5 Betrieben</t>
  </si>
  <si>
    <t>SAK technischer Fortschritt (provisorisch ausser Kraft)</t>
  </si>
  <si>
    <t>UMOS progres technique (provisoirement suspendu)</t>
  </si>
  <si>
    <t>Exploitation individuelle ou communauté</t>
  </si>
  <si>
    <t>Exploitation individuelle</t>
  </si>
  <si>
    <t>Communauté à 2 expl.</t>
  </si>
  <si>
    <t>Communauté à 3 expl.</t>
  </si>
  <si>
    <t>Communauté à 4 expl.</t>
  </si>
  <si>
    <t>Communauté à 5 expl.</t>
  </si>
  <si>
    <t>Systèmes de stabulation particulièrement respectueux des animaux (SST)</t>
  </si>
  <si>
    <t>- Altersgrenze (65 Jahre)</t>
  </si>
  <si>
    <t>- Ökologischer Leistungsnachweis ÖLN</t>
  </si>
  <si>
    <t>- Prestations écologiques requises PER</t>
  </si>
  <si>
    <t>Flächen</t>
  </si>
  <si>
    <t>Milchkühe, Milchschafe und Milchziegen</t>
  </si>
  <si>
    <t>*Beitragsberechtigte Fläche: LN (ausser Hecken, Feld- und Ufergehölze)</t>
  </si>
  <si>
    <t>Coefficient d'ajustement (moyens disponibles totaux/ besoins totaux)</t>
  </si>
  <si>
    <t>Faktor (Total verfügbare Mittel/ Total Bedarf)</t>
  </si>
  <si>
    <t>heutige Beiträge*:</t>
  </si>
  <si>
    <t>Contributions actuelles*:</t>
  </si>
  <si>
    <t>Total Versorgungssicherheitsbeiträge</t>
  </si>
  <si>
    <t>Total contributions à la sécurité de l'approvisionnement</t>
  </si>
  <si>
    <t>Total Biodiversitätsbeiträge</t>
  </si>
  <si>
    <t>Total contributions à la biodiversité</t>
  </si>
  <si>
    <t>Total Produktionssystembeiträge</t>
  </si>
  <si>
    <t>Total contributions au système de production</t>
  </si>
  <si>
    <t>Total Landschaftsqualitätsbeitrag</t>
  </si>
  <si>
    <t>Total contribution à la qualité du paysage</t>
  </si>
  <si>
    <t>Italiano</t>
  </si>
  <si>
    <t>Testi</t>
  </si>
  <si>
    <t>Lingua:</t>
  </si>
  <si>
    <t xml:space="preserve">   Supplemento per la coltivazione biologica</t>
  </si>
  <si>
    <t xml:space="preserve"> - altri animali</t>
  </si>
  <si>
    <t xml:space="preserve"> - altri pascoli</t>
  </si>
  <si>
    <t>- Deduzione per gestore coniugato (Fr. 340'000.-)</t>
  </si>
  <si>
    <t>- Deduzione per gestore coniugato (Fr. 50'000.-)</t>
  </si>
  <si>
    <t>- Aziende contadine che gestiscono il suolo</t>
  </si>
  <si>
    <t>- Formazione agricola di base</t>
  </si>
  <si>
    <t>- Limite d'età (65 anni)</t>
  </si>
  <si>
    <t>- Prova che esigenze ecologiche sono rispettate (PER)</t>
  </si>
  <si>
    <t>*Condizioni non ancora definite</t>
  </si>
  <si>
    <t>= Sostanza determinante</t>
  </si>
  <si>
    <t>= Reddito determinante</t>
  </si>
  <si>
    <t>&gt; 30 % declività su terrazzi</t>
  </si>
  <si>
    <t>18 - 35 % declività</t>
  </si>
  <si>
    <t>30 - 50 % declività</t>
  </si>
  <si>
    <t>altre UGBFG :</t>
  </si>
  <si>
    <t>Anno:</t>
  </si>
  <si>
    <t>alberi</t>
  </si>
  <si>
    <t>alberi isolati adatti al sito e viali alberati</t>
  </si>
  <si>
    <t>altre SCE situate sulla SAU</t>
  </si>
  <si>
    <t>altre terre aperte</t>
  </si>
  <si>
    <t>bandes tampons</t>
  </si>
  <si>
    <t>Contributions à l'efficience des ressources</t>
  </si>
  <si>
    <t>Kulturlandschaftsbeiträge (KLB, Art. 42 bis 49 und Anhang 7 DZV)</t>
  </si>
  <si>
    <t>Contributions au paysage cultivé (CPC, Art. 42 à 49 et Annexe 7 OPD)</t>
  </si>
  <si>
    <t>Contributi per il paesaggio rurale (CPR, Art. 42-49 e Allegato 7 OPD)</t>
  </si>
  <si>
    <t>(Auf Dauerwiesen wird mindestens ein Mähschnitt pro Jahr verlangt)</t>
  </si>
  <si>
    <t>Versorgungssicherheitsbeiträge (VSB, Art. 50 bis 54 und Anhang 7 DZV)</t>
  </si>
  <si>
    <t>Contributions à la sécurité de l'approvisionnement (CSA, Art. 50 à 54 et Annexe 7 OPD)</t>
  </si>
  <si>
    <t>Contributi per la sicurezza dell'approvvigionamento (CSA, art. 50-54 e allegato 7 OPD)</t>
  </si>
  <si>
    <t>* GVE-Faktor für "andere Kühe" neu 1.0</t>
  </si>
  <si>
    <t>Verordnungsname ausschreiben</t>
  </si>
  <si>
    <t>Biodiversitätsbeiträge (BDB, Art. 55 bis 60 und Anhang 7 DZV)</t>
  </si>
  <si>
    <t>Contributions à la biodiversité (CBD, Art. 55 à 60 et Annexe 7 OPD)</t>
  </si>
  <si>
    <t>Contributi per la biodiversità (CBD, Art. 55-60 e Allegato 7 OPD)</t>
  </si>
  <si>
    <t>Uferwiese entlang von Fliessgewässern*</t>
  </si>
  <si>
    <t>* Die Beiträge für die Qualitätsstufe II im Uferbereich treten erst 2015 in Kraft</t>
  </si>
  <si>
    <t xml:space="preserve">    werden bis Ende dieser Dauer Fr. 30.- bezahlt</t>
  </si>
  <si>
    <t>* ha, NST nach Normalstoss, Stück, Laufmeter, Betrieb</t>
  </si>
  <si>
    <t>…nach Normalstoss (eingefügt)</t>
  </si>
  <si>
    <t>Landschaftsqualitätsbeitrag (LQB, Art. 63 und 64 und Anhang 7 DZV)</t>
  </si>
  <si>
    <t>Contribution à la qualité du paysage (CQP, Art. 63 et 64 et Annexe 7 OPD)</t>
  </si>
  <si>
    <t>Contributo per la qualità del paesaggio (CQP, Art. 63 e 64 e Allegato 7 OPD)</t>
  </si>
  <si>
    <t>Geflügel**</t>
  </si>
  <si>
    <t>Volaille**</t>
  </si>
  <si>
    <t>Pollame**</t>
  </si>
  <si>
    <t>**Brut- und Konsumeier produzierende Hennen und Hähne, Junghennen, Junghähne und Küken zur Eierproduktion, Mastpoulets und Truten</t>
  </si>
  <si>
    <r>
      <t xml:space="preserve">**Poules pondeuses, poulettes, </t>
    </r>
    <r>
      <rPr>
        <sz val="9"/>
        <rFont val="Arial"/>
        <family val="2"/>
      </rPr>
      <t>coqs d'élevage, jeunes coqs, poussins, poulets et dindes</t>
    </r>
  </si>
  <si>
    <t>**Galline e galli da allevamento, galline ovaiole, pollastre e pollastri, pulcini, tacchini</t>
  </si>
  <si>
    <t>*GVE-Faktor für "andere Kühe" neu 1.0</t>
  </si>
  <si>
    <t>Übergangsbeitrag (ÜGB, Art. 84 bis 96 DZV)</t>
  </si>
  <si>
    <t>Contribution de transition (CT, Art. 84 à 96 OPD)</t>
  </si>
  <si>
    <t>Contributi di transizione (CT, Art. 84-96 OPD)</t>
  </si>
  <si>
    <t>Andere Nutztiere</t>
  </si>
  <si>
    <t>Autres animaux de rente</t>
  </si>
  <si>
    <t>Altri animali da reddito</t>
  </si>
  <si>
    <t>Ressourceneffizienzbeiträge (nationale: Art. 77 bis 83 und Anhang 7 DZV)</t>
  </si>
  <si>
    <t>Contributions à l'efficience des ressources (nationales: Art. 77 à 83 et Annexe 7 OPD)</t>
  </si>
  <si>
    <t>Contributi per l’efficienza delle risorse (nazionali: Art.77-83 e Allegato 7 OPD)</t>
  </si>
  <si>
    <t>autres animaux consommant du fourrage grossier (sans bisons ni cerfs)</t>
  </si>
  <si>
    <t>Total contributions d'estivage</t>
  </si>
  <si>
    <t>Total contributions au paysage cultivé (y-compris estivage)</t>
  </si>
  <si>
    <t>NST***</t>
  </si>
  <si>
    <t>PN***</t>
  </si>
  <si>
    <t>CN***</t>
  </si>
  <si>
    <t>***NST = Normalstoss = 1 RGVE 100 Sömmerungstage</t>
  </si>
  <si>
    <t>***PN = pâquier normal = 1 UGBFG estivée pendant 100 jours</t>
  </si>
  <si>
    <t>***CN = carico normale = 1 UGBFG estivato durante 100 giorni</t>
  </si>
  <si>
    <t>Raps, Sonnenblumen, Ölkürbisse, Öllein, Mohn und Saflor</t>
  </si>
  <si>
    <t>Soja</t>
  </si>
  <si>
    <t>Ackerbohnen, Eiweisserbsen und Lupinen zu Futterzwecken</t>
  </si>
  <si>
    <t>Zusammenfassung der Direktzahlungen und Beiträge</t>
  </si>
  <si>
    <t>Total Beiträge für einzelne Kulturen</t>
  </si>
  <si>
    <t>andere Kühe (z.B. Mutterkühe)</t>
  </si>
  <si>
    <t>Ressourceneffizienzbeiträge (regionale, Art. 77 a/b LwG und Art. 62a GSchG)</t>
  </si>
  <si>
    <t>Beitrag (Fr.)</t>
  </si>
  <si>
    <t>Contribution (Fr.)</t>
  </si>
  <si>
    <t>Total nationale Ressourceneffizienzbeiträge</t>
  </si>
  <si>
    <t>Total regionale Ressourceneffizienzbeiträge</t>
  </si>
  <si>
    <t>Kulturlandschaftsbeiträge**</t>
  </si>
  <si>
    <t>Versorgungssicherheitsbeiträge**</t>
  </si>
  <si>
    <t>Veaux (bovins et buffles d'Asie) jusqu'à 160 jours</t>
  </si>
  <si>
    <t>autres surfaces de compensation écologique</t>
  </si>
  <si>
    <t>Contribution supplémentaire pour travail ménageant le sol sans herbicide</t>
  </si>
  <si>
    <t>Surface donnant droit à la contribution</t>
  </si>
  <si>
    <t>Montant Fr./PN</t>
  </si>
  <si>
    <t>Lapins</t>
  </si>
  <si>
    <t>Autres porcins sans porcelets allaités</t>
  </si>
  <si>
    <t>Culture extensive de céréales, oléagineux et protéagineux</t>
  </si>
  <si>
    <t>Contributions à la surface année de référence*</t>
  </si>
  <si>
    <t>Contributions pour des terrains en pente année de référence*</t>
  </si>
  <si>
    <t>Contributions pour la garde d’animaux consommant des fourrages grossiers année de référence*</t>
  </si>
  <si>
    <t>Contributions pour la garde d’animaux dans des conditions difficiles année de référence*</t>
  </si>
  <si>
    <t>Total des paiements directs généraux de l'année de référence*</t>
  </si>
  <si>
    <t>Sous-total contribution de base</t>
  </si>
  <si>
    <t>Total surface</t>
  </si>
  <si>
    <t>60 - 80 ha</t>
  </si>
  <si>
    <t>0 - 60 ha</t>
  </si>
  <si>
    <t>80 -100 ha</t>
  </si>
  <si>
    <t>100-120 ha</t>
  </si>
  <si>
    <t>120-140 ha</t>
  </si>
  <si>
    <t>&gt; 140 ha</t>
  </si>
  <si>
    <t>/</t>
  </si>
  <si>
    <t>Surface pondérée</t>
  </si>
  <si>
    <t>*Niveau de déclivité &gt; 50% et contributions pour les terrains en pente en zone de plaine entrent en vigueur en 2017 seulement</t>
  </si>
  <si>
    <t>Artenreiche Grün- und Streuflächen im Sömmerungsgebiet</t>
  </si>
  <si>
    <t>Sonnenblumen, Eiweisserbsen, Ackerbohnen</t>
  </si>
  <si>
    <t>Tournesol, pois protéagineux, féverole</t>
  </si>
  <si>
    <t>Colza</t>
  </si>
  <si>
    <t>Extensive Produktion von Getreide, Ölsaaten und Eiweisspflanzen</t>
  </si>
  <si>
    <t>Abzug für massgebendes Einkommen höher als 80'000</t>
  </si>
  <si>
    <t>Flächenbeiträge des Referenzjahres*</t>
  </si>
  <si>
    <t>Hangbeiträge des Referenzjahres*</t>
  </si>
  <si>
    <t>Beiträge für die Haltung Raufutter verzehrender Nutztiere des Referenzjahres*</t>
  </si>
  <si>
    <t>Beiträge für die Tierhaltung unter erschwerenden Produktionsbedingungen des Referenzjahres*</t>
  </si>
  <si>
    <t>übrige Schweine ohne Saugferkel</t>
  </si>
  <si>
    <t>LN ohne Spezialkulturen (+ Hecken, Feld- und Ufergehölze, Streueflächen, Uferbereich)</t>
  </si>
  <si>
    <t>Total allgemeine Direktzahlungen des Referenzjahres*</t>
  </si>
  <si>
    <t>Grenze (Fr./ SAK)</t>
  </si>
  <si>
    <t>gewichtete Fläche</t>
  </si>
  <si>
    <t>gesamte Fläche</t>
  </si>
  <si>
    <t>Zwischentotal des Basisbeitrags</t>
  </si>
  <si>
    <t>Calcolo delle unità standard di manodopera (USM)</t>
  </si>
  <si>
    <t>Contributi complessivi</t>
  </si>
  <si>
    <t>cereali da foraggio</t>
  </si>
  <si>
    <t>Contributo base</t>
  </si>
  <si>
    <t>Charge min /ha SPB herbagères</t>
  </si>
  <si>
    <t>Pufferstreifen</t>
  </si>
  <si>
    <t>Anzahl Betriebe</t>
  </si>
  <si>
    <t>0 - 120 ha</t>
  </si>
  <si>
    <t>0 - 180 ha</t>
  </si>
  <si>
    <t>0 - 240 ha</t>
  </si>
  <si>
    <t>120 - 160 ha</t>
  </si>
  <si>
    <t>180 - 240 ha</t>
  </si>
  <si>
    <t>240 - 320 ha</t>
  </si>
  <si>
    <t>160 - 200 ha</t>
  </si>
  <si>
    <t>240 - 300 ha</t>
  </si>
  <si>
    <t>320 - 400 ha</t>
  </si>
  <si>
    <t>200 - 240 ha</t>
  </si>
  <si>
    <t>300 - 360 ha</t>
  </si>
  <si>
    <t>400 - 480 ha</t>
  </si>
  <si>
    <t>240 - 280 ha</t>
  </si>
  <si>
    <t>360 - 420 ha</t>
  </si>
  <si>
    <t>480 - 560 ha</t>
  </si>
  <si>
    <t>&gt; 280 ha</t>
  </si>
  <si>
    <t>&gt; 420 ha</t>
  </si>
  <si>
    <t>&gt; 560 ha</t>
  </si>
  <si>
    <t>Abstufung (Reduktion) des Beitrags, wenn mehr als 60 ha je Betrieb:</t>
  </si>
  <si>
    <t>Echelonnement (réduction) de la contribution, si plus de 60 ha par exploitation:</t>
  </si>
  <si>
    <t>nombre d'exploitations</t>
  </si>
  <si>
    <t>weitere ökologische Ausgleichsflächen</t>
  </si>
  <si>
    <t>Kaninchen</t>
  </si>
  <si>
    <t>Ressourceneffizienzbeiträge</t>
  </si>
  <si>
    <t>Zusatzbeitrag für herbizidlose, schonende Bodenbearbeitung</t>
  </si>
  <si>
    <t xml:space="preserve">* Année avec le plus haut montant de paiements directs généraux parmi les années 2011 à 2013 </t>
  </si>
  <si>
    <t>¦</t>
  </si>
  <si>
    <t xml:space="preserve">   =</t>
  </si>
  <si>
    <t>Total Sömmerungsbeiträge</t>
  </si>
  <si>
    <t>Total Kulturlandschaftsbeiträge (inkl. Sömmerung)</t>
  </si>
  <si>
    <t>Betrag Fr./NST</t>
  </si>
  <si>
    <t>andere raufutterverzehrende Tiere (ohne Bisons und Hirsche)</t>
  </si>
  <si>
    <t>Déduction pour la part de revenu supérieure à 80'000 :</t>
  </si>
  <si>
    <t>SAU sans les cultures spéciales (+ haies, bosquets et berges boisées, surfaces à litière, zones de berge)</t>
  </si>
  <si>
    <t>- Formation professionnelle agricole</t>
  </si>
  <si>
    <t>2014 - 2016: 700
dès 2017: 1'000</t>
  </si>
  <si>
    <t>Calcul des réductions de la contribution de transition dues au revenu et à la fortune</t>
  </si>
  <si>
    <t>Contribution pour terres ouvertes et c. pérennes</t>
  </si>
  <si>
    <t>Contribution à la production dans des conditions difficiles</t>
  </si>
  <si>
    <t>Contributions du niveau de qualité 1</t>
  </si>
  <si>
    <t>Contributions du niveau de qualité 2</t>
  </si>
  <si>
    <t>Le montant des contributions est calculé en fonction de la charge usuelle, pour autant que la charge annuelle effective se situe entre 75% et 110% de la charge usuelle</t>
  </si>
  <si>
    <t>** La charge minimale en bétail doit être atteinte selon les conditions de la contribution de base à la sécurité de l'approvisionnement; en outre la charge minimale en bétail totale doit aussi être atteinte avec les prairies temporaires</t>
  </si>
  <si>
    <t>Surfaces sans charge minimale en bétail</t>
  </si>
  <si>
    <t>Surfaces avec charge minimale en bétail</t>
  </si>
  <si>
    <t>Contr. mise en réseau (Fr./ha)</t>
  </si>
  <si>
    <t>Contr. niveau de qualité 3 (Fr./ha)</t>
  </si>
  <si>
    <t>Contr. niveau de qualité 2 (Fr./ha)</t>
  </si>
  <si>
    <t>Contr. niveau de qualité 1 (Fr./ha)</t>
  </si>
  <si>
    <t>Part de surface entre</t>
  </si>
  <si>
    <t>Taux de réduction</t>
  </si>
  <si>
    <t>Autres vaches (par exemple vaches allaitantes)</t>
  </si>
  <si>
    <t>Limite (Fr./ UMOS)</t>
  </si>
  <si>
    <t>- Limitation par unité de main-d'œuvre standard</t>
  </si>
  <si>
    <t>Contributo per la protezione delle acque (art. 62 LPAc)</t>
  </si>
  <si>
    <t>Contributi d'estivazione</t>
  </si>
  <si>
    <t>Contributo di declività per i vigneti</t>
  </si>
  <si>
    <t>Contributi per il benessere degli animali</t>
  </si>
  <si>
    <t>Sistemi di stabulazione particolarmente rispettosi degli animali (SSRA)</t>
  </si>
  <si>
    <t>campicoltura rispettosa della fauna selvatica</t>
  </si>
  <si>
    <t>colture speciali</t>
  </si>
  <si>
    <t>Parts minimales atteintes</t>
  </si>
  <si>
    <t>** Selon structure de l'année déterminante* et les taux de contributions 2014</t>
  </si>
  <si>
    <t>Charge min/ ha surf herb permanentes (hors SPB) et temporaires</t>
  </si>
  <si>
    <t>Colza, tournesol, lin et courge à huile, pavot, carthame</t>
  </si>
  <si>
    <t>Contributions 2014, y compris contributions uniques, en % des contributions actuelles</t>
  </si>
  <si>
    <t xml:space="preserve">Attention ! Ce total inclut les contributions uniques pour l'achat de machines (CER) qui se montent à: </t>
  </si>
  <si>
    <t>il sera versé Fr. 30.- jusqu'à la fin de cette durée d'engagement</t>
  </si>
  <si>
    <t>* Nouveau facteur UGB pour "autres vaches": 1.0</t>
  </si>
  <si>
    <t>(Les prairies permanentes doivent être fauchées au moins une fois par année)</t>
  </si>
  <si>
    <t>*</t>
  </si>
  <si>
    <t>UGBFG réels</t>
  </si>
  <si>
    <t>RGVE eff.</t>
  </si>
  <si>
    <t>UBGFG effettivi</t>
  </si>
  <si>
    <t>Calcul de la contribution pour les surfaces herbagères donnant droit aux contributions</t>
  </si>
  <si>
    <t>Prairies de berges le long des eaux courantes*</t>
  </si>
  <si>
    <t>* Les contributions pour le niveau de qualité II en zone de berges entrent en vigueur seulement en 2015</t>
  </si>
  <si>
    <t>% de la ch. en bétail réalisé (= UGB eff./ UGB min.)
(si la charge minimale en bétail est atteinte = 100%)</t>
  </si>
  <si>
    <t>* Contribution = 200.- x % de la charge en bétail réalisé x surface</t>
  </si>
  <si>
    <t>La contribution est payée pour la surface herbagère permanente sur laquelle la charge minimale est atteinte (surface x % ch. en bétail réalisé)</t>
  </si>
  <si>
    <t>** Surface = SPB herbagères + prairies temporaires + prairies permanentes</t>
  </si>
  <si>
    <t>Nouveau: contribution unique par machine</t>
  </si>
  <si>
    <t>1. Pulvérisation sous-foliaire: 75% des coûts d'acquisition par rampe, jusqu'à un maximum de Fr. 170.- par unité de pulvérisation</t>
  </si>
  <si>
    <t>Part des surfaces en forte pente en % de la surface donnant droit aux contributions</t>
  </si>
  <si>
    <t>Part de surfaces en forte pente au-delà de 30%</t>
  </si>
  <si>
    <t>Progression linéaire de la contribution à partir de 30% de surfaces en forte pente: Fr. 100.- + d (en %) x 900/70 (Fr. 1'000 - Fr. 100)/(100% - 30%)</t>
  </si>
  <si>
    <t>Betteraves destinées à la production de sucre</t>
  </si>
  <si>
    <t>Pois protéagineux, féverole et lupin fourragers</t>
  </si>
  <si>
    <t>Total contributions pour des cultures particulières</t>
  </si>
  <si>
    <t>Contribution pour surfaces en pente*</t>
  </si>
  <si>
    <t>Contributions pour surfaces en forte pente</t>
  </si>
  <si>
    <t>Steillagenbeitrag</t>
  </si>
  <si>
    <t>Attention ! Surface &gt; 35% de pente plus grande que surface de l'exploitation</t>
  </si>
  <si>
    <t>Contribution totale (Fr.)</t>
  </si>
  <si>
    <t>Récapitulation des paiements directs et contributions</t>
  </si>
  <si>
    <t>Quota minima raggiunta</t>
  </si>
  <si>
    <t xml:space="preserve"> - animali munti, alpeggiati durante 56-100 giorni</t>
  </si>
  <si>
    <t>- pascoli a rotazione</t>
  </si>
  <si>
    <t>**limitazioni identiche alla PA 2011 (coeff. USM aggiornati)</t>
  </si>
  <si>
    <t>* Anno con il più alto importo di pagamenti diretti generali negli anni di riferimento 2011-2013</t>
  </si>
  <si>
    <t>** Secondo l'effettivo animali dell'anno determinante e le aliquote di contribuzione 2014</t>
  </si>
  <si>
    <t>Attenzione ! Superficie &gt; 35% di declività più grande della superficie dell'azienda</t>
  </si>
  <si>
    <t xml:space="preserve">fasce tampone </t>
  </si>
  <si>
    <t>Calcolo della riduzione del contributo di transizione in base al reddito e alla sostanza</t>
  </si>
  <si>
    <t>Carico minimo /ha sup. inerbita fuori della SPB</t>
  </si>
  <si>
    <t>Carico minimo/ha sup. permanentemente e temporaneamente inerbita (senza SPB)</t>
  </si>
  <si>
    <t>Girasole, piselli proteici, favette</t>
  </si>
  <si>
    <t>Colza, girasole, zucca e lino da olio, papavero, cartamo</t>
  </si>
  <si>
    <t>Soia</t>
  </si>
  <si>
    <t>Piselli proteici, favette e lupino da foraggio</t>
  </si>
  <si>
    <t>Barbabietole da zucchero per la produzione di zucchero</t>
  </si>
  <si>
    <t>Contributo per la superficie coltiva aperta e le colture perenni</t>
  </si>
  <si>
    <t>Totale contributi per le singole colture</t>
  </si>
  <si>
    <t>Contributo per le difficoltà di produzione</t>
  </si>
  <si>
    <t>Contributo per la qualità (livello qualitativo I)</t>
  </si>
  <si>
    <t>Produzione di latte e carne basata sulla superficie inerbita</t>
  </si>
  <si>
    <t>Contributo per la qualità (livello qualitativo II)</t>
  </si>
  <si>
    <t>Contributi per la sicurezza dell'approvvigionamento**</t>
  </si>
  <si>
    <t>Calcolo del contributo di transizione</t>
  </si>
  <si>
    <t>Contributi di transizione versati</t>
  </si>
  <si>
    <t xml:space="preserve">Contributi per l’efficienza delle risorse </t>
  </si>
  <si>
    <t>Contributi per l’efficienza delle risorse (regionali: CER, Art.77 a/b LAgr e Art. 62a LPAc)</t>
  </si>
  <si>
    <t>Contributi attuali**</t>
  </si>
  <si>
    <t>Contributi per il paesaggio rurale**</t>
  </si>
  <si>
    <t>(Contributi per il paesaggio rurale: senza contributi d'estivazione; contributi per la sicurezza dell'approvvigionamento: senza considerare il carico minimo e senza i contributi per singole colture)</t>
  </si>
  <si>
    <t xml:space="preserve">Contributo per l'interconnessione </t>
  </si>
  <si>
    <t>Produzione estensiva di cereali, oleaginose e colza</t>
  </si>
  <si>
    <t>Contributi per le zone in forte pendenza</t>
  </si>
  <si>
    <t>Riduzione per il reddito superiore a 80''000</t>
  </si>
  <si>
    <t>superficie inerbite e a strame ricche di specie nelle regioni d'estivazione</t>
  </si>
  <si>
    <t>L'importo dei contributi è calcolato in base al carico usuale a condizione che il carico annuale effettivo sia compreso tra il 75% e il 110% del carico usuale</t>
  </si>
  <si>
    <t>Contributo (Fr.)</t>
  </si>
  <si>
    <t>Contributo totale (Fr.)</t>
  </si>
  <si>
    <t>Importo Fr./CN</t>
  </si>
  <si>
    <t>altri animali che consumano foraggio grezzo (senza bisonti e cervi)</t>
  </si>
  <si>
    <t>Media dei contributi di superficie negli anni di riferimento (2011-2013)*</t>
  </si>
  <si>
    <t>Media dei contributi per le superficie declive negli anni di riferimento (2011-2013)*</t>
  </si>
  <si>
    <t>Media dei contributi per animali che consumano foraggio grezzo negli anni di riferimento (2011-2013)*</t>
  </si>
  <si>
    <t>Media dei contributi per la detenzione di animali in condizioni difficili di produzione  negli anni di riferimento (2011-2013)*</t>
  </si>
  <si>
    <t>Altri suini senza lattonzoli</t>
  </si>
  <si>
    <t>Conigli</t>
  </si>
  <si>
    <t>Ricapitolativo dei pagamenti diretti e dei contributi</t>
  </si>
  <si>
    <t>Coefficiente (mezzi disponibili / bisogni totali)</t>
  </si>
  <si>
    <t>SAU senza colture speciali (+ Siepi, boschetti campestri e rivieraschi, terreni da strame, zone rivierasche lungo i corsi d'acqua)</t>
  </si>
  <si>
    <t>Se la sostanza determinante è superiore a 1'000'000 Fr., deduzione del 100% dei contributi di transizione</t>
  </si>
  <si>
    <t>Quota minima di prati, pascoli e foraggio di base nella razione degli animali che consumano foraggio grezzo</t>
  </si>
  <si>
    <t>** Il carico minimo di bestiame deve essere raggiunto rispettando le condizioni del contributo di base per la sicurezza dell'approvvigionamento; inoltre il carico minimo di bestiame totale deve essere raggiunto con i prati temporanei</t>
  </si>
  <si>
    <t>Versorgungssicherheitsbeiträge ohne Berücksichtigung des Mindesttierbesatzes</t>
  </si>
  <si>
    <t>zur Berechnung der Reduktion beim Übergangsbeitrag</t>
  </si>
  <si>
    <t>Total Versorgungssicherheitsbeiträge ohne Berücksichtigung des Mindesttierbesatzes</t>
  </si>
  <si>
    <t>Flächenabstufung</t>
  </si>
  <si>
    <t>Abstufung nach Anzahl Betriebe</t>
  </si>
  <si>
    <t>0 - 300 ha</t>
  </si>
  <si>
    <t>300 - 400 ha</t>
  </si>
  <si>
    <t>400 - 500 ha</t>
  </si>
  <si>
    <t>500 - 600 ha</t>
  </si>
  <si>
    <t>600 - 700 ha</t>
  </si>
  <si>
    <t>&gt; 700 ha</t>
  </si>
  <si>
    <t>Superficie inerbite</t>
  </si>
  <si>
    <t>Aliquota/unità</t>
  </si>
  <si>
    <t>Terre aperte e colture perenni (in CH e all'estero)</t>
  </si>
  <si>
    <t>Totale dei contributi d'estivazione</t>
  </si>
  <si>
    <t>Totale dei contributi per il paesaggio rurale (ivi compresi quelli d'estivazione)</t>
  </si>
  <si>
    <t>Totale dei contributi per la qualità del paesaggio</t>
  </si>
  <si>
    <t>Totale dei contributi nazionali per l'efficienza delle risorse</t>
  </si>
  <si>
    <t>Totale dei contributi regionali per l'efficienza delle risorse</t>
  </si>
  <si>
    <t>Totale pagamenti diretti generali dell'anno di riferimento*</t>
  </si>
  <si>
    <t>Vitelli (bovini e bufali) fino a 160 giorni</t>
  </si>
  <si>
    <r>
      <t xml:space="preserve">ZP, ZC, ZM 1-2: 1000; </t>
    </r>
    <r>
      <rPr>
        <sz val="10"/>
        <rFont val="Calibri"/>
        <family val="2"/>
      </rPr>
      <t xml:space="preserve"> </t>
    </r>
  </si>
  <si>
    <t>ZP, ZC, ZM 1-2: 1000; 
ZM 3-4: 700</t>
  </si>
  <si>
    <t>ZP a ZM 2</t>
  </si>
  <si>
    <t>Superficie foraggiera al di fuori della SPB</t>
  </si>
  <si>
    <t>Superfici inerbite</t>
  </si>
  <si>
    <t>+ Sup. gestita per tradizione all'estero nelle zone limitrofe</t>
  </si>
  <si>
    <t>Pagamenti diretti della CE per le superfici all'estero (anno precedente)</t>
  </si>
  <si>
    <t>Terre aperte e colture perenni gestite per tradizione all'estero</t>
  </si>
  <si>
    <t>Superfici inerbite gestite per tradizione all'estero</t>
  </si>
  <si>
    <t>altre superfici di compensazione ecologica</t>
  </si>
  <si>
    <t>Superfici senza carico minimo di bestiame</t>
  </si>
  <si>
    <t>Superfici con carico minimo di bestiame</t>
  </si>
  <si>
    <t>Superfici soggette ad un carico minimo di bestiame (secondo dati alla pagina "sicurezza dell'approvvigionamento"</t>
  </si>
  <si>
    <t>- Limite per unità standard di manodopera</t>
  </si>
  <si>
    <t>Limite (Fr./USM)</t>
  </si>
  <si>
    <t>Offenhaltungbeitrag*</t>
  </si>
  <si>
    <t>Contribution au maintien d’un paysage ouvert*</t>
  </si>
  <si>
    <t>Contributo per la preservazione dell'apertura del paesaggio*</t>
  </si>
  <si>
    <t>Steillagenanteil in % der beitragsberechtigten Fläche</t>
  </si>
  <si>
    <t>a</t>
  </si>
  <si>
    <t>b</t>
  </si>
  <si>
    <t>c = a / b</t>
  </si>
  <si>
    <t>Anzahl % über 30% des Steillagenanteils</t>
  </si>
  <si>
    <t>d = c - 30%</t>
  </si>
  <si>
    <t>Raufutterverzehrer (Total inkl. gesömmerte Tiere)</t>
  </si>
  <si>
    <t>Bétail consommant des fourrages grossiers (effectifs totaux y compris animaux estivés)</t>
  </si>
  <si>
    <t>Animali che consumano foraggio grezzo (effettivo totale, compresi gli animali estivati)</t>
  </si>
  <si>
    <t>2014: 1'600;
ab 2015: 1'400</t>
  </si>
  <si>
    <t>2014: 1'600; dès 2015: 1'400</t>
  </si>
  <si>
    <t>2014: 1'600;
dal 2015: 1'400</t>
  </si>
  <si>
    <t>Faktor für Ansatz (= RGVE eff. / RGVE min.),
falls Mindesttierbesatz erreicht, Faktor = 1</t>
  </si>
  <si>
    <t>Falls Mindesttierbesatz nicht erreicht, Flächen x Faktor einsetzen</t>
  </si>
  <si>
    <t>Contrib. livello qualitativo 1 (Fr./ha)</t>
  </si>
  <si>
    <t>Contrib. livello qualitativo 2 (Fr./ha)</t>
  </si>
  <si>
    <t>Contrib. livello qualitativo 3 (Fr./ha)</t>
  </si>
  <si>
    <t xml:space="preserve"> *SAU donnant droit aux contr. (voir déf. dans feuille "Transition"), sans haies, bosquets et berges boisées</t>
  </si>
  <si>
    <t>SAU donnant droit aux contributions (voir définition dans la feuille "Transition")</t>
  </si>
  <si>
    <t>* Toutes les surfaces, donnant droit aux contributions pour surfaces en pente, avec plus de 35% de pente</t>
  </si>
  <si>
    <t>Pour rappel: critères d’entrée en matière et surface donnant droit aux contributions</t>
  </si>
  <si>
    <t>Zur Erinnerung: Eintretenskriterien und zu Beiträgen berechtigende Fläche</t>
  </si>
  <si>
    <t>- surveillance permanente ou pâturage tournant avec mesures de prot. des troupeaux</t>
  </si>
  <si>
    <t>Cereali (mais da granella escluso)</t>
  </si>
  <si>
    <t>* ha, PN selon charge usuelle, unités, mètres linéaires, exploitation</t>
  </si>
  <si>
    <t>*Hangneigungsstufe &gt; 50% und Hangbeiträge in der Talzone treten 2017 in Kraft</t>
  </si>
  <si>
    <t>3. Driftreduzierende Spritzgeräte in Dauerkulturen: pro Spritzgebläse mit Vegetationsdetektor und horizontaler Luftstromlenkung sowie Tunnelrecycling - Sprühgerät:  25 % der Anschaffungskosten, jedoch maximal Fr. 10'000.-</t>
  </si>
  <si>
    <t>Contrib. interconnessione (Fr./ha)</t>
  </si>
  <si>
    <t>Carico min./ha SPB inerbita</t>
  </si>
  <si>
    <t>Contributo supplementare per lavorazione rispettosa del suolo senza erbicida</t>
  </si>
  <si>
    <t>Superfici con diritto al contributo</t>
  </si>
  <si>
    <t>Altre vacche (per es.  vacche madri)</t>
  </si>
  <si>
    <t>Parte di superficie tra</t>
  </si>
  <si>
    <t>Graduazione</t>
  </si>
  <si>
    <t>Superficie ponderata</t>
  </si>
  <si>
    <t>Superficie totale</t>
  </si>
  <si>
    <t>Totale parziale del contributo di base</t>
  </si>
  <si>
    <t>* Classe di declività &gt; 50% e contributi per i terreni declivi nella zona di pianura entrano in vigore solo nel 2017</t>
  </si>
  <si>
    <t>&gt; 50% di declività</t>
  </si>
  <si>
    <t>SAK 2013</t>
  </si>
  <si>
    <t>SAK-Faktoren</t>
  </si>
  <si>
    <t>Ein Entscheid, ob und wie die SAK-Faktoren angepasst werden, soll erst nach Vorliegen des Berichts zum  Postulat Leo Müller (12.3906) fallen. Der Bericht, der das heutige System beurteilt und mögliche Alternativen aufzeigt, soll auf Frühjahr 2014 fertig gestellt werden. Bis auf weiteres gelten die bisherigen SAK-Faktoren von 2013.</t>
  </si>
  <si>
    <t>Auswahl für Berechnung</t>
  </si>
  <si>
    <t>* 2014-2016: &gt;35-50% und &gt; 50% = 0.03
ab 2017: &gt;35-50% = 0.025; &gt;50% = 0.05</t>
  </si>
  <si>
    <t>* 2014-2016: &gt;35-50% und &gt; 50% = 0.03
dès 2017: &gt;35-50% = 0.025; &gt;50% = 0.05</t>
  </si>
  <si>
    <t>* 2014-2016: &gt;35-50% e &gt;50%  = 0.03
dal 2017: &gt;35-50% = 0.025; &gt;50% = 0.05</t>
  </si>
  <si>
    <t>Part minimale de prairies, pâturages et fourrages de base dans la ration des animaux consommant des fourrages grossiers</t>
  </si>
  <si>
    <t>Terres ouvertes et cultures pérennes (en Suisse et à l'étranger)</t>
  </si>
  <si>
    <t>Total contributions nationales à l'efficience des ressources</t>
  </si>
  <si>
    <t>Total contributions régionales à l'efficience des ressources</t>
  </si>
  <si>
    <t>Terres ouvertes et cultures pérennes exploitées par tradition à l'étranger</t>
  </si>
  <si>
    <t>Surfaces herbagères exploitées par tradition à l'étranger</t>
  </si>
  <si>
    <t>+ Surf expl par tradition zone limitrophe étrangère</t>
  </si>
  <si>
    <t>+ angestammte Flächen im Ausland</t>
  </si>
  <si>
    <t>Paiements directs de l’UE pour les surfaces à l'étranger (année précédente)</t>
  </si>
  <si>
    <t>Surfaces soumises à une charge minimale en bétail (selon saisies dans la page "sécurité de l'approvisionnement")</t>
  </si>
  <si>
    <t>Production de lait et de viande basée sur les herbages</t>
  </si>
  <si>
    <t>Graslandbasierte Milch- und Fleischproduktion</t>
  </si>
  <si>
    <t>Achtung: Fläche &gt; 35 % Neigung ist grösser als die zu Beiträgen berechtigenden Fläche des Betriebes</t>
  </si>
  <si>
    <t>Contributions à l'efficience des ressources (régionales: Art. 77 a/b LAgr et Art. 62a LEaux)</t>
  </si>
  <si>
    <t>*y-compris contributions à la culture des champs (OCCCh), contributions selon l'OQE, contributions d'estivage, contributions selon art. 77a/b Lagr, contributions selon art. 62a Leaux</t>
  </si>
  <si>
    <t>*inkl. Anbaubeiträge nach ABBV, Beiträge nach ÖQV, Sömmerungsbeiträge, Beiträge nach 77a/b LwG (Ressourcenprogramme), Beiträge nach Art. 62a GSchG</t>
  </si>
  <si>
    <t>Contributions à la sécurité de l'approvisionnement**</t>
  </si>
  <si>
    <t>Contributions au paysage cultivé**</t>
  </si>
  <si>
    <t>(Contributions au paysage cultivé: sans contribution d'estivage; contributions à la sécurité de l'approvisionnement: sans prise en compte de la charge minimale et sans contribution pour les cultures particulières)</t>
  </si>
  <si>
    <t>(Kulturlandschaftsbeiträge: ohne Sömmerungsbeitrag; 
Versorgungssicherheitsbeiträge: ohne den Mindesttierbesatz zu berücksichtigen und ohne Beiträge für Einzelkulturen)</t>
  </si>
  <si>
    <t>*Jahr mit den höchsten allgemeinen Direktzahlungen im Zeitraum 2011 bis 2013</t>
  </si>
  <si>
    <t>**gemäss dem massgebenden Jahr* und den Beitragsansätzen von 2014</t>
  </si>
  <si>
    <t>BZ III und IV</t>
  </si>
  <si>
    <t>&gt; 50 % Neigung</t>
  </si>
  <si>
    <t>&gt; 50 % déclivité</t>
  </si>
  <si>
    <t>Colture speciali, esclusi i vigneti in forte pendenza e terrazzati</t>
  </si>
  <si>
    <t>Riduzione per il reddito  &gt; 124'444:</t>
  </si>
  <si>
    <t>Riduzioni per la sostanza:</t>
  </si>
  <si>
    <t>Riduzioni per il reddito:</t>
  </si>
  <si>
    <t>Azienda:</t>
  </si>
  <si>
    <t>Sostanza imponibile</t>
  </si>
  <si>
    <t>ha risp. UBG</t>
  </si>
  <si>
    <t>Forme di produzione settoriali nella produzione vegetale e animale</t>
  </si>
  <si>
    <t>Aliquota (Fr.)</t>
  </si>
  <si>
    <t>Importo Fr./unità</t>
  </si>
  <si>
    <t>ovini, escluse le pecore da latte</t>
  </si>
  <si>
    <t>numero</t>
  </si>
  <si>
    <t>no</t>
  </si>
  <si>
    <t>si</t>
  </si>
  <si>
    <t>Pagamenti diretti 1</t>
  </si>
  <si>
    <t>Pagamenti diretti 2</t>
  </si>
  <si>
    <t>Pagamenti diretti 3</t>
  </si>
  <si>
    <t>Pagamenti diretti 4</t>
  </si>
  <si>
    <t>Pagamenti diretti 5</t>
  </si>
  <si>
    <t>Pagamenti diretti 6</t>
  </si>
  <si>
    <t>Pagamenti diretti 7</t>
  </si>
  <si>
    <t>Pagamenti diretti 8</t>
  </si>
  <si>
    <t>Agricoltura biologica</t>
  </si>
  <si>
    <t>per ha SAU</t>
  </si>
  <si>
    <t>per carico normale</t>
  </si>
  <si>
    <t>Quota parte (Fr.)</t>
  </si>
  <si>
    <t>paesaggio coltivato</t>
  </si>
  <si>
    <t>Suini</t>
  </si>
  <si>
    <t>Suini da ingrasso, da rimonta con peso superiore a 25 kg e suinetti svezzati</t>
  </si>
  <si>
    <t>Suini d'allevamento</t>
  </si>
  <si>
    <t>Suini d'allevamento e da ingrasso, senza scrofe allattanti</t>
  </si>
  <si>
    <t>Reddito imponibile IFD</t>
  </si>
  <si>
    <t>Somma dei contributi</t>
  </si>
  <si>
    <t>Totale parziale</t>
  </si>
  <si>
    <t>Vigneti in forte pendenza e terrazzati</t>
  </si>
  <si>
    <t>Sistemi di produzione applicati nell'intera azienda</t>
  </si>
  <si>
    <t>Totale</t>
  </si>
  <si>
    <t>Totale dei contributi per i sistemi di produzione</t>
  </si>
  <si>
    <t>Totale dei contributi per la biodiversità</t>
  </si>
  <si>
    <t>Totale dei contributi per la sicurezza dell'approvvigionamento</t>
  </si>
  <si>
    <t>Totale (Fr.)</t>
  </si>
  <si>
    <t>Scrofe d'allevamento, non allattanti</t>
  </si>
  <si>
    <t>UBG</t>
  </si>
  <si>
    <t>UBGFG</t>
  </si>
  <si>
    <t>UBGFG min.</t>
  </si>
  <si>
    <t>USM x</t>
  </si>
  <si>
    <t>ha o CN</t>
  </si>
  <si>
    <t>Vacche, pecore e capre da latte</t>
  </si>
  <si>
    <t>vigna</t>
  </si>
  <si>
    <t>vigneti terrazzati</t>
  </si>
  <si>
    <t>Pollame</t>
  </si>
  <si>
    <t xml:space="preserve">ZP &amp; ZC: 2500; </t>
  </si>
  <si>
    <t xml:space="preserve">ZP &amp; ZC: 4000; </t>
  </si>
  <si>
    <t>ZP &amp; ZC: 4500; 
ZM1-2: 4100;ZM3-4:3900</t>
  </si>
  <si>
    <t xml:space="preserve">ZP: 3200; ZC: 2900; </t>
  </si>
  <si>
    <t>ZP: 900; ZC: 750; 
ZM 1-2: 500; ZM 3-4: 350</t>
  </si>
  <si>
    <t>ZM 1-2:2100;ZM 3-4:1900</t>
  </si>
  <si>
    <t>ZM 1-2:3500;ZM 3-4:3400</t>
  </si>
  <si>
    <t>ZM 3-4: 500</t>
  </si>
  <si>
    <t>Zona di pianura</t>
  </si>
  <si>
    <t>Zona collinare</t>
  </si>
  <si>
    <t>Zona montagna 1</t>
  </si>
  <si>
    <t>Zona montagna 2</t>
  </si>
  <si>
    <t>Zona montagna 3</t>
  </si>
  <si>
    <t>Zona montagna 4</t>
  </si>
  <si>
    <t>ZP e ZC</t>
  </si>
  <si>
    <t>Riduzione per la sostanza compresa tra 800'000 e 1'000'000 :</t>
  </si>
  <si>
    <t>Animaux consommant du fourrage grossier mis en estivage</t>
  </si>
  <si>
    <t>Contribution d'alpage (pour l'exploitation à l'année)</t>
  </si>
  <si>
    <t>Montant (Fr./ha)</t>
  </si>
  <si>
    <t>Sous-total (Fr.)</t>
  </si>
  <si>
    <t>) =</t>
  </si>
  <si>
    <t>Prairies temporaires</t>
  </si>
  <si>
    <t>Déduction pour la part de fortune entre 800'000 et 1'000'000 :</t>
  </si>
  <si>
    <t>report paiements directs 1</t>
  </si>
  <si>
    <t>riporto pagamenti diretti 1</t>
  </si>
  <si>
    <r>
      <t>report paiements directs 2</t>
    </r>
    <r>
      <rPr>
        <sz val="11"/>
        <color indexed="8"/>
        <rFont val="Calibri"/>
        <family val="2"/>
      </rPr>
      <t/>
    </r>
  </si>
  <si>
    <t>riporto pagamenti diretti 2</t>
  </si>
  <si>
    <r>
      <t>report paiements directs 3</t>
    </r>
    <r>
      <rPr>
        <sz val="11"/>
        <color indexed="8"/>
        <rFont val="Calibri"/>
        <family val="2"/>
      </rPr>
      <t/>
    </r>
  </si>
  <si>
    <t>riporto pagamenti diretti 3</t>
  </si>
  <si>
    <r>
      <t>report paiements directs 4</t>
    </r>
    <r>
      <rPr>
        <sz val="11"/>
        <color indexed="8"/>
        <rFont val="Calibri"/>
        <family val="2"/>
      </rPr>
      <t/>
    </r>
  </si>
  <si>
    <t>riporto pagamenti diretti 4</t>
  </si>
  <si>
    <r>
      <t>report paiements directs 5</t>
    </r>
    <r>
      <rPr>
        <sz val="11"/>
        <color indexed="8"/>
        <rFont val="Calibri"/>
        <family val="2"/>
      </rPr>
      <t/>
    </r>
  </si>
  <si>
    <t>riporto pagamenti diretti 5</t>
  </si>
  <si>
    <r>
      <t>report paiements directs 6</t>
    </r>
    <r>
      <rPr>
        <sz val="11"/>
        <color indexed="8"/>
        <rFont val="Calibri"/>
        <family val="2"/>
      </rPr>
      <t/>
    </r>
  </si>
  <si>
    <t>riporto pagamenti diretti 6</t>
  </si>
  <si>
    <r>
      <t>report paiements directs 7</t>
    </r>
    <r>
      <rPr>
        <sz val="11"/>
        <color indexed="8"/>
        <rFont val="Calibri"/>
        <family val="2"/>
      </rPr>
      <t/>
    </r>
  </si>
  <si>
    <t>riporto pagamenti diretti 7</t>
  </si>
  <si>
    <r>
      <t xml:space="preserve">- Déduction par UMOS </t>
    </r>
    <r>
      <rPr>
        <sz val="12"/>
        <rFont val="Arial"/>
        <family val="2"/>
      </rPr>
      <t>a)</t>
    </r>
  </si>
  <si>
    <r>
      <t xml:space="preserve">- Deduzione per USM </t>
    </r>
    <r>
      <rPr>
        <sz val="12"/>
        <rFont val="Arial"/>
        <family val="2"/>
      </rPr>
      <t>a)</t>
    </r>
  </si>
  <si>
    <t>ZM 1-2:2400;ZM 3-4:2150</t>
  </si>
  <si>
    <t>BZ I-II:2400;BZ III-IV:2150</t>
  </si>
  <si>
    <t>ZM1-2:2400; ZM3-4:2150</t>
  </si>
  <si>
    <t xml:space="preserve">Z P: 3700; ZC: 3400; </t>
  </si>
  <si>
    <t>ZM1-2:2900; ZM3-4:2650</t>
  </si>
  <si>
    <t xml:space="preserve">Z P: 3400; ZC: 3100; </t>
  </si>
  <si>
    <t xml:space="preserve">ZP: 3400; ZC: 3100; </t>
  </si>
  <si>
    <t>TZ: 3400; HZ: 3100</t>
  </si>
  <si>
    <t>ZM 1-2:2600;ZM 3-4:3350</t>
  </si>
  <si>
    <t>BZ I-II:2600;BZ III-IV:3350</t>
  </si>
  <si>
    <t>ZM1-2:2600; ZM3-4:3350</t>
  </si>
  <si>
    <t>Contributi per la biodiversità (senza contributi ICE)</t>
  </si>
  <si>
    <t xml:space="preserve">Z P: 3900; ZC: 3600; </t>
  </si>
  <si>
    <t>ZM1-2:3100; ZM3-4:2850</t>
  </si>
  <si>
    <t>Montant additionnel (Fr./ha)</t>
  </si>
  <si>
    <t>Unité (ha ou PN)</t>
  </si>
  <si>
    <t>herbages et surfaces à litière riches en espèces de la région d'estivage</t>
  </si>
  <si>
    <t>&gt; 35 - 50 % Neigung</t>
  </si>
  <si>
    <t>- sorveglianza permanente o pascoli a rotazione con misure di protezione delle greggi</t>
  </si>
  <si>
    <t>Contributi 2014, compresi i contributi unici, in % rispetto ai contributi attuali</t>
  </si>
  <si>
    <t>Attenzione ! Questo totale comprende i contributi unici per l'acquisto di macchine (CER) che ammontano a:</t>
  </si>
  <si>
    <t xml:space="preserve">* Per i noci, che nel 2013 sono nel periodo d'impegno (durata di 6 anni), </t>
  </si>
  <si>
    <t>saranno versati Fr. 30.--/noce fino alla fine dell'obbligo d'impegno</t>
  </si>
  <si>
    <t>* Nuovo fattore UBG per "altre vacche": 1.0</t>
  </si>
  <si>
    <t xml:space="preserve"> * SAU con diritto ai contributi (cfr. foglio "Transizione") senza siepi, boschetti campestri e rivieraschi</t>
  </si>
  <si>
    <t>I prati permanenti devono essere falciati almeno una volta all'anno</t>
  </si>
  <si>
    <t>* Contributo = 200.--  x  % carico bestiame realizzato  x  superficie</t>
  </si>
  <si>
    <t>Vacche munte, pecore e capre munte, con durata</t>
  </si>
  <si>
    <t>d'alpeggio di  56 - 100 giorni (carico usuale in UBG)</t>
  </si>
  <si>
    <t>Promemoria: condizioni per l'entrata in materia e superfici con diritto ai contributi</t>
  </si>
  <si>
    <t>Calcolo dei contributi per la superficie inerbita con diritto ai contributi</t>
  </si>
  <si>
    <t>* Nuovo fattore UBG per "altre vacche":1.0</t>
  </si>
  <si>
    <t>Zone rivierasche lungo i corsi d'acqua *</t>
  </si>
  <si>
    <t>* I contributi per il livello di qualità II per le zone rivierasche entreranno in vigore solo nel 2015</t>
  </si>
  <si>
    <t>% del carico best. realizzato (= UBG eff./UBG min.),
se il carico minimo di bestiame è raggiunto; fattore = 1</t>
  </si>
  <si>
    <t>Se il carico in bestiame non è raggiunto: introdurre superficie x fattore</t>
  </si>
  <si>
    <t>** Superficie = SPB sup. inerbita + prati temporanei + sup. inerbita</t>
  </si>
  <si>
    <t>* ha, CN secondo il carico usuale, unità, metro lineare, azienda</t>
  </si>
  <si>
    <t>Nuovo: contributo unico per macchina</t>
  </si>
  <si>
    <t>1. Tecnica d'irrorazione della pagina inferiore: per barra irrorante 75 % del prezzo d'acquisto, però max. Fr . 170.- per unità irrorante</t>
  </si>
  <si>
    <t>2. Irroratrici dotate di sistemi antideriva nelle colture perenni: per atomizzatore a flusso d'aria tangenziale (atomizzatori tangenziali) 25 % del prezzo d'acquisto, però max. Fr. 6'000.-</t>
  </si>
  <si>
    <t>3. Irroratrici con rilevatori di vegetazione e atomizzatori a flusso d'aria tangenziale nonché irroratrici a tunnel dotate di sistema di riciclo:  25 % del prezzo d'acquisto, però max. Fr. 10'000.-</t>
  </si>
  <si>
    <r>
      <t>Graduazione (riduzione) del contributo se più di 60 ha</t>
    </r>
    <r>
      <rPr>
        <u/>
        <sz val="10"/>
        <rFont val="Arial"/>
        <family val="2"/>
      </rPr>
      <t xml:space="preserve"> </t>
    </r>
    <r>
      <rPr>
        <sz val="10"/>
        <rFont val="Arial"/>
        <family val="2"/>
      </rPr>
      <t>per azienda</t>
    </r>
    <r>
      <rPr>
        <u/>
        <sz val="10"/>
        <rFont val="Arial"/>
        <family val="2"/>
      </rPr>
      <t>:</t>
    </r>
  </si>
  <si>
    <t>Numero di aziende</t>
  </si>
  <si>
    <t>Superficie con diritto ai contributi &gt; 35% di declività*</t>
  </si>
  <si>
    <t>SAU con diritto ai contributi (vedere le definizioni nel folio “Transizione”)</t>
  </si>
  <si>
    <t>* Tutte le superfici con diritto ai contributi per le superfici di declività con &gt; 35% di pendenza</t>
  </si>
  <si>
    <t>Parte delle superfici in forte pendenza in % della superficie con diritto ai contributi</t>
  </si>
  <si>
    <t>Parte della superficie in forte pendenza al di là del 30%</t>
  </si>
  <si>
    <t>Progressione lineare del contributo a partire da 30% delle superfici in forte pendenza: Fr. 100.- + d (in %) x 900/70 (Fr. 1'000 - Fr. 100)/(100% - 30%)</t>
  </si>
  <si>
    <t>Contributi per la sicurezza dell'approvvigionamento senza considerare il carico minimo di bestiame</t>
  </si>
  <si>
    <t>Totale contributi per la sicurezza dell'approvvigionamento senza considerare il carico minimo di bestiame</t>
  </si>
  <si>
    <t>per il calcolo del contributo di transizione</t>
  </si>
  <si>
    <t>Classi di superficie</t>
  </si>
  <si>
    <t>Graduazione secondo il numero di aziende</t>
  </si>
  <si>
    <t>Azienda individuale o comunità aziendale</t>
  </si>
  <si>
    <t>Comunità di 2 aziende</t>
  </si>
  <si>
    <t>Comunità di 3 aziende</t>
  </si>
  <si>
    <t>Comunità di 4 aziende</t>
  </si>
  <si>
    <t>Comunità di 5 aziende</t>
  </si>
  <si>
    <t>(1) SPB herbagères = prairies extensives et peu intensives, pâturages extensifs et pâturages boisés, prairies riveraines d’un cours d’eau</t>
  </si>
  <si>
    <t>SPB herbagères</t>
  </si>
  <si>
    <t>(1) BFF Grünland = extensiv und wenig intensiv genutzte Wiesen, extensive Weiden und Waldweiden, Uferwiesen entlang von Fliessgewässern</t>
  </si>
  <si>
    <t>BFF Grünland</t>
  </si>
  <si>
    <t>SPB foraggiera</t>
  </si>
  <si>
    <t>(1) SPB foraggiera = prati estensivi e poco intensivi, pascoli estensivi e pascoli boschivi, prati rivieraschi lungo i corsi d’acqua</t>
  </si>
  <si>
    <t>Valeurs calculées (report pages précédentes = contr. 2014)</t>
  </si>
  <si>
    <t>Valeurs calculées pour les surfaces SPB ne donnant pas droit à ces contributions en 2014***</t>
  </si>
  <si>
    <t>***Jachères, ourlets sur terres assolées, surfaces à litière, haies, bosquets et berges boisées (attention: seule la contribution de base est ici calculée !)</t>
  </si>
  <si>
    <t>Berechnete Werte (vorstehende Seiten = Beiträge 2014)</t>
  </si>
  <si>
    <t>Kalkulierte Zuschläge für die BFF, die im Jahr 2014 keine Versorgungssicherheits- beiträge erhalten***</t>
  </si>
  <si>
    <t>&gt; 35 - 50 % déclivité</t>
  </si>
  <si>
    <t>&gt; 35 - 50 % declività</t>
  </si>
  <si>
    <t>2014 - 2016: 700
ab 2017: 1'000</t>
  </si>
  <si>
    <t>Hangbeitrag*</t>
  </si>
  <si>
    <t>Contributi generali di declività*</t>
  </si>
  <si>
    <t>&gt; 50 % Neigung*</t>
  </si>
  <si>
    <t>&gt; 50 % déclivité*</t>
  </si>
  <si>
    <t>&gt; 50 % declività*</t>
  </si>
  <si>
    <t>Die Beitragssumme wird auf der Basis des Normalbesatzes gerechnet, wenn der effektive Jahresbesatz zwischen 75% und 110% des Normalbesatzes liegt</t>
  </si>
  <si>
    <t>Mindesttierbesatz/ha auf BFF Grünland</t>
  </si>
  <si>
    <t>Mindesttierbesatz/ha auf Dauergrünfläche ausser BFF</t>
  </si>
  <si>
    <t>Fläche zwischen</t>
  </si>
  <si>
    <t>Abstufung</t>
  </si>
  <si>
    <t>0%</t>
  </si>
  <si>
    <t>Produktionserschwernisbeitrag</t>
  </si>
  <si>
    <t>Beitrag für die offene Ackerfläche und Dauerkulturen</t>
  </si>
  <si>
    <t>Flächen ohne Mindesttierbesatzanforderung</t>
  </si>
  <si>
    <t>* Betrag = Faktor x 200.-</t>
  </si>
  <si>
    <t>Beitragsberechnung für die beitragsberechtigte Grünfläche</t>
  </si>
  <si>
    <t>** Fläche = BFF Grünland  + Kunstwiesen + Dauergrünfläche</t>
  </si>
  <si>
    <t>Neu einmaliger Beitrag pro Maschine</t>
  </si>
  <si>
    <t>1. Unterblattspritztechnik: pro Spritzbalken 75 % der Anschaffungskosten, jedoch maximal Fr . 170.- pro Spritzeinheit</t>
  </si>
  <si>
    <t>Texte sind wahrscheinlich in den f und i - sprachigen Verordnungspaketunterlagen. Nicht  frei übersetzen, sonst gibt es Abweichungen zu den offiziellen Texten</t>
  </si>
  <si>
    <t xml:space="preserve">Fr. </t>
  </si>
  <si>
    <t>inklusive einmalige</t>
  </si>
  <si>
    <t>Beiträge 2014, inklusive einmalige, in % der heutigen Beiträge</t>
  </si>
  <si>
    <t>Achtung: Davon einmalig für Maschinenanschaffungen bei REB</t>
  </si>
  <si>
    <t>WIRD NICHT VERWENDET</t>
  </si>
  <si>
    <t>Flächen mit Mindesttierbesatzanforderung</t>
  </si>
  <si>
    <t>Beiträge der Qualitätsstufe I</t>
  </si>
  <si>
    <t>Beitrag der Qualitätsstufe I (Fr./ha)</t>
  </si>
  <si>
    <t>Beitrag der Qualitätsstufe II (Fr./ha)</t>
  </si>
  <si>
    <t>Beitrag der Qualitätsstufe III (Fr./ha)</t>
  </si>
  <si>
    <t>Vernetzungs- beitrag (Fr./ha)</t>
  </si>
  <si>
    <t>Beiträge für Qualitätsstufe II</t>
  </si>
  <si>
    <t>**Mindesttierbesatz muss gemäss Bestimmungen zum Basisbeitrag Versorgungssicherheit erreicht werden; zusätzlich muss der volle Mindesttierbesatz auch auf Kunstwiese erreicht werden</t>
  </si>
  <si>
    <t>nicht säugende Zuchtsauen</t>
  </si>
  <si>
    <t>zu Beiträgen berechtigende Fläche</t>
  </si>
  <si>
    <t>- Landwirtschaftliche Ausbildung</t>
  </si>
  <si>
    <t>Berechnung der einkommens- und vermögensbedingten Reduktion der ÜGB</t>
  </si>
  <si>
    <t>Calcul de la contribution de transition</t>
  </si>
  <si>
    <t>Contribution de transition versée</t>
  </si>
  <si>
    <t>Alpungsbeitrag (an den Ganzjahresbetrieb)</t>
  </si>
  <si>
    <t>gesömmerte raufutterverzehrende Nutztiere</t>
  </si>
  <si>
    <t>Betrag (Fr./ha)</t>
  </si>
  <si>
    <t>Zwischentotal (Fr.)</t>
  </si>
  <si>
    <t>Kunstwiesen</t>
  </si>
  <si>
    <t>TZ: 3700; HZ: 3400</t>
  </si>
  <si>
    <t>TZ: 3900; HZ: 3600</t>
  </si>
  <si>
    <t>BZ I-II:2900;BZ III-IV:2650</t>
  </si>
  <si>
    <t>BZ I-II:3100;BZ III-IV:2850</t>
  </si>
  <si>
    <t>Einheit (ha oder NST)</t>
  </si>
  <si>
    <t>Berechnung des Übergangsbeitrags</t>
  </si>
  <si>
    <t>Übergangsbeitrag ausbezahlt</t>
  </si>
  <si>
    <t>TZ: 900; HZ: 750;  
BZI-II: 500; BZIII - IV: 350</t>
  </si>
  <si>
    <t>Sous-total contributions au paysage cultivé exploitation à l'année</t>
  </si>
  <si>
    <t>Zwischentotal Kulturlandschaftsbeiträge auf dem Ganzjahresbetrieb</t>
  </si>
  <si>
    <t>Surfaces herbagères permanentes hors SPB</t>
  </si>
  <si>
    <t>SPB = Surfaces de promotion de la biodiversité</t>
  </si>
  <si>
    <t>Charge min /ha surf herb permanentes hors SPB</t>
  </si>
  <si>
    <t>Mindesttierbesatz erreicht:</t>
  </si>
  <si>
    <t>(ha)</t>
  </si>
  <si>
    <t>Einheimische standortgerechte Einzelbäume und Alleen</t>
  </si>
  <si>
    <t>Condition: projet collectif</t>
  </si>
  <si>
    <t>Désignation</t>
  </si>
  <si>
    <t>Bezeichnung</t>
  </si>
  <si>
    <t>Mesure:</t>
  </si>
  <si>
    <t>Massnahme:</t>
  </si>
  <si>
    <t>Nombre d'unités*</t>
  </si>
  <si>
    <t>Gesamtbetriebliche Produktionsformen</t>
  </si>
  <si>
    <t>Modes de production conformes au principe de la globalité</t>
  </si>
  <si>
    <t>Teilbetriebliche Produktionsformen</t>
  </si>
  <si>
    <t>Modes de production portant sur une partie de l'exploitation</t>
  </si>
  <si>
    <t>= massgebendes Vermögen</t>
  </si>
  <si>
    <t>= massgebendes Einkommen</t>
  </si>
  <si>
    <t>Limitation par unité de main-d'œuvre standard</t>
  </si>
  <si>
    <t>Paiements directs soumis à la limitation par UMOS:</t>
  </si>
  <si>
    <t>Contributions à la sécurité de l'approvisionnement (sauf contribution pour des cultures particulières)</t>
  </si>
  <si>
    <t>Contributions à la biodiversité (sauf contribution mise en réseau)</t>
  </si>
  <si>
    <t>Limite en 2012: Fr. 70'000.-/ UMOS - nouvelle limite pas encore fixée</t>
  </si>
  <si>
    <t>Plafond des paiements directs soumis à la limite:</t>
  </si>
  <si>
    <t>Paiements directs soumis à la limite versés:</t>
  </si>
  <si>
    <t>c)</t>
  </si>
  <si>
    <t>d)</t>
  </si>
  <si>
    <t>b)</t>
  </si>
  <si>
    <t>Le plus petit des montants entre b) et c)</t>
  </si>
  <si>
    <t>Réduction à appliquer au montant total des paiements directs:</t>
  </si>
  <si>
    <t>Montant de base (Fr./ha)</t>
  </si>
  <si>
    <t>***Brachen, Saum auf Ackerfläche, Streuefläche, Hecken, Feld- und Ufergehölze (Achtung: hier wird nur der Basisbeitrag berechnet!)</t>
  </si>
  <si>
    <t>Report des val. indicatives calculées ou saisie de val. adaptées selon données déterminantes** et totalité des suppléments de contr. à la sécurité de l'approvisionnement***</t>
  </si>
  <si>
    <t xml:space="preserve">Übertragung der berechneten Werte oder angepasste Werte gemäss massgebenden Daten** und total der kalkulierten Zuschläge zu den VSB***  </t>
  </si>
  <si>
    <t>Valori calcolati (pagine precedenti = contributi 2014)</t>
  </si>
  <si>
    <t>Riporto dei valori calcolati o scelta di valori adattati secondo la struttura dell'azienda di riferimento ** e totale dei contributi supplementari al contributo di sicurezza all'approvvigionamento***</t>
  </si>
  <si>
    <t>Maggesi, strisce su campi coltivati, superfici da strame, siepi, boschetti di campo e rivieraschi (attenzione: qui è calcolato solo il contributo di base!)</t>
  </si>
  <si>
    <t>Valori calcolati per le SPB che non danno diritto a contributi nel 2014***</t>
  </si>
  <si>
    <t>Dauergrünfläche ausser BFF</t>
  </si>
  <si>
    <t>BFF = Biodiversitätsförderflächen</t>
  </si>
  <si>
    <t>Voraussetzung: überbetriebliches Projekt</t>
  </si>
  <si>
    <t>Anzahl Einheiten*</t>
  </si>
  <si>
    <t>Begrenzung pro Standardarbeitskraft</t>
  </si>
  <si>
    <t>von der Grenze pro SAK betroffene Direktzahlungen:</t>
  </si>
  <si>
    <t>Contribution pour l'utilisation durable des ressources art. 77a et 77b LAgr</t>
  </si>
  <si>
    <t>Contributo per l'impiego sostenibile delle risorse naturali (art. 77a e 77b LAgr)</t>
  </si>
  <si>
    <t>* compresi i premi di coltivazione (OCCamp), i contributi secondo l'OQE, i contributi d'estivazione, i contributi secondo art. 77a-b LAgr e i contributi secondo art. 62a LPac</t>
  </si>
  <si>
    <t>Numero d'unità*</t>
  </si>
  <si>
    <t>Carico animali minimo raggiunto:</t>
  </si>
  <si>
    <t>Versorgungssicherheitsbeiträge (ohne Beitrag für einzelne Kulturen)</t>
  </si>
  <si>
    <t>Biodiversitätsbeiträge (ohne Vernetzungsbeitrag)</t>
  </si>
  <si>
    <t>Grenze in 2012: Fr. 70'000.-/ SAK - neue Grenze noch nicht festgelegt</t>
  </si>
  <si>
    <t>Obergrenze der betroffenen Direktzahlungen:</t>
  </si>
  <si>
    <t>Kürzung des Gesamtbetrags der Direktzahlungen</t>
  </si>
  <si>
    <t>Basisbetrag (Fr./ha)</t>
  </si>
  <si>
    <t>zusätzlicher Betrag (Fr./ha)</t>
  </si>
  <si>
    <t>- Begrenzung pro Standardarbeitskraft</t>
  </si>
  <si>
    <t>Abzug für massgebendes Einkommen &gt; 124'444:</t>
  </si>
  <si>
    <t>Abzug für massgebendes Vermögen zwischen 800'000 und 1'000'000:</t>
  </si>
  <si>
    <t>Abzug für massgebendes Vermögen &gt; 1 Mio. entspricht 100% des Übergangsbeitrags:</t>
  </si>
  <si>
    <t>Si la fortune déterminante dépasse 1'000'000, déduction de 100% de la contribution de transition</t>
  </si>
  <si>
    <t>effektiv gezahlte Summe der betroffenen Direktzahlungen:</t>
  </si>
  <si>
    <t>Minimum von b) und c)</t>
  </si>
  <si>
    <t>Contributo d'estivazione (per l'azienda annuale)</t>
  </si>
  <si>
    <t>Totale parziale contributi per il paesaggio rurale dell'azienda annuale</t>
  </si>
  <si>
    <t>Totale dei contributi per il paesaggio rurale</t>
  </si>
  <si>
    <t>Animali estivati che consumano foraggio grezzo</t>
  </si>
  <si>
    <t>Prati temporanei</t>
  </si>
  <si>
    <t>ZP: 3700; ZC: 3400</t>
  </si>
  <si>
    <t>ZM1-2: 2900; ZM3-4:2650</t>
  </si>
  <si>
    <t>ZP: 3900; ZC: 3600</t>
  </si>
  <si>
    <t>ZM1-2: 3100; ZM3-4: 2850</t>
  </si>
  <si>
    <t>Misura</t>
  </si>
  <si>
    <t>Unità (ha o CN)</t>
  </si>
  <si>
    <t>Condizione: progetto collettivo</t>
  </si>
  <si>
    <t>Designazione</t>
  </si>
  <si>
    <t>Limite per unità standard di manodopera</t>
  </si>
  <si>
    <t>Contributi per la sicurezza dell'approvvigionamento (eccetto contributo per delle colture particolari)</t>
  </si>
  <si>
    <t>Limite nel 2012: Fr. 70'000.-/USM - nuovo limite non ancora fissato</t>
  </si>
  <si>
    <t>Pagamenti diretti soggetti al limite per USM</t>
  </si>
  <si>
    <t>Quota massima di pagamenti diretti soggetti al limite</t>
  </si>
  <si>
    <t>Pagamenti diretti versati soggetti al limite per USM</t>
  </si>
  <si>
    <t xml:space="preserve">   </t>
  </si>
  <si>
    <t>- Quota minima di manodopera propria dell'azienda (50%)</t>
  </si>
  <si>
    <t>Importo (Fr./ha)</t>
  </si>
  <si>
    <t>Importo aggiuntivo</t>
  </si>
  <si>
    <t>Il più piccolo degli importi tra b) e c)</t>
  </si>
  <si>
    <t>Deduzione da applicare all'importo totale dei pagamenti diretti</t>
  </si>
  <si>
    <t>Importo di base (Fr./ha)</t>
  </si>
  <si>
    <t>caprini e ovini &gt; 1anno, agnelli magri per il pascolo, conigli</t>
  </si>
  <si>
    <t>superficie</t>
  </si>
  <si>
    <t xml:space="preserve">USM </t>
  </si>
  <si>
    <t>Totale parziale (Fr.)</t>
  </si>
  <si>
    <t>altre superficie agricole utili</t>
  </si>
  <si>
    <t>SPB = superficie per la promozione della biodiversità</t>
  </si>
  <si>
    <t>*superficie con diritto ai contributi: SAU (esclusi siepi e boschetti campestri e rivieraschi)</t>
  </si>
  <si>
    <t>*superficie con diritto ai contributi: SAU, SAgrC e superficie d'estivazione (SAgrC: superficie agricole di cura)</t>
  </si>
  <si>
    <t>superficie* (ha)</t>
  </si>
  <si>
    <t>SAK</t>
  </si>
  <si>
    <t>- andere Tiere</t>
  </si>
  <si>
    <t>- Abzug pro SAK a)</t>
  </si>
  <si>
    <t>- Abzug pro verheirateter Betriebsleiter (Fr. 340'000.-)</t>
  </si>
  <si>
    <t>- Abzug pro verheirateter Betriebsleiter (Fr. 50'000.-)</t>
  </si>
  <si>
    <t>- Bodenbewirtschaftender Landwirtschaftsbetrieb</t>
  </si>
  <si>
    <t>- Umtriebsweide</t>
  </si>
  <si>
    <t>**Obergrenze wie AP 2011 (SAK aktualisiert)</t>
  </si>
  <si>
    <t>*Bedingungen noch nicht genau definiert</t>
  </si>
  <si>
    <t>andere ÖA Auf der LN</t>
  </si>
  <si>
    <t>Zuckerrüben zur Zuckerproduktion</t>
  </si>
  <si>
    <t>Berechnung der Standardarbeitskräfte (SAK)</t>
  </si>
  <si>
    <t>Berechnung Total der Beiträge</t>
  </si>
  <si>
    <t>Futtergetreide</t>
  </si>
  <si>
    <t>Normalbesatz</t>
  </si>
  <si>
    <t>Basisbeitrag</t>
  </si>
  <si>
    <t>paysage cultivé</t>
  </si>
  <si>
    <t>Kulturlandschaft</t>
  </si>
  <si>
    <t>- Mindestanteil betriebseigener Arbeitskräfte (50%)</t>
  </si>
  <si>
    <t>wildtierfreundlichem Ackerbau</t>
  </si>
  <si>
    <t>Spezialkulturen ohne Rebbau in Hanglagen und Terrassenbau</t>
  </si>
  <si>
    <t>Vermögensabzug</t>
  </si>
  <si>
    <t>Einkommensabzug</t>
  </si>
  <si>
    <t>steuerbares Vermögen</t>
  </si>
  <si>
    <t>Betrag Fr./Einheit</t>
  </si>
  <si>
    <t>Schafe und Ziegen &gt; 1 Jahr, Weidelämmer, Kaninchen</t>
  </si>
  <si>
    <t>Direktzahlungen 3</t>
  </si>
  <si>
    <t>Direktzahlungen 4</t>
  </si>
  <si>
    <t>Direktzahlungen 5</t>
  </si>
  <si>
    <t>Direktzahlungen 6</t>
  </si>
  <si>
    <t>Direktzahlungen 7</t>
  </si>
  <si>
    <t>Zucht-und Mastschweine, ohne säugende Sauen</t>
  </si>
  <si>
    <t>Übertrag Direktzahlungen 1</t>
  </si>
  <si>
    <t>Übertrag Direktzahlungen 2</t>
  </si>
  <si>
    <t>Übertrag Direktzahlungen 3</t>
  </si>
  <si>
    <t>Übertrag Direktzahlungen 4</t>
  </si>
  <si>
    <t>Übertrag Direktzahlungen 5</t>
  </si>
  <si>
    <t>Übertrag Direktzahlungen 6</t>
  </si>
  <si>
    <t>Übertrag Direktzahlungen 7</t>
  </si>
  <si>
    <t>Kürzung aufgrund der Begrenzung pro SAK*</t>
  </si>
  <si>
    <t>Réduction selon limite par UMOS*</t>
  </si>
  <si>
    <t>Deduzione secondo il limite USM*</t>
  </si>
  <si>
    <t>für 2015, 2016 und 2017: 1.9%</t>
  </si>
  <si>
    <t>Kürzung aufgrund des Sparprogrammes für die Bundesfinanzen KAP 2014:**</t>
  </si>
  <si>
    <t>davon</t>
  </si>
  <si>
    <t>** Die Reduktion erfolgt auf der Summe der oben zusammengefassten Überträge 1-6, abzüglich der Vernetzungsbeiträge aus dem Blatt "Biodiversität"</t>
  </si>
  <si>
    <t>Réduction selon programme d'économies du budget fédéral CRT 2014**</t>
  </si>
  <si>
    <t>x taux</t>
  </si>
  <si>
    <t>(pour 2015, 2016 et 2017: 1.9%)</t>
  </si>
  <si>
    <t>** La réduction s'applique sur la somme des reports 1 à 6 de la récapitulation ci-dessus, moins les contributions pour la mise en réseau (biodiversité)</t>
  </si>
  <si>
    <t>Die Reduktion der Beiträge 2015 gemäss Beschluss des Bundesrats vom 29. Oktober 2014 (Änderung der Direktzahlungsverordnung; AS 2014 3909) wird im Rechner nicht umgesetzt, weil das Parlament den Kredit Direktzahlungen erhöht hat. Die Reduktion der Beiträge wird voraussichtlich mit dem Verordnungspaket Frühling 2015 durch den Bundesrat rückgängig gemacht.</t>
  </si>
  <si>
    <t>La réduction des contributions 2015 selon décision du Conseil fédéral du 29 octobre 2014 (modification de l'ordonnance sur les paiements directs; AS 2014 3909) n'a pas été intégrée dans l'outil de calcul, car le Parlement a augmenté le crédit pour les paiements directs. La réduction des contributions sera probablement annulée par le Conseil fédéral avec le paquet d'ordonnances du printemps 2015.</t>
  </si>
  <si>
    <t>Die Anpassung der Beiträge 2015 gemäss Beschluss des Bundesrats vom 29. Oktober 2014 (Änderung der Direktzahlungsverordnung; AS 2014 3909) wird im Rechner nicht umgesetzt, weil das Parlament den Kredit Direktzahlungen erhöht hat. Diese Anpassung der Beiträge wird voraussichtlich mit dem Verordnungspaket Frühling 2015 durch den Bundesrat rückgängig gemacht.</t>
  </si>
  <si>
    <t>Riduzione secondo il programma di risparmio della Confederazione (PCon 2014)**</t>
  </si>
  <si>
    <t>per il periodo 2015-2017: 1.9%</t>
  </si>
  <si>
    <t>di cui</t>
  </si>
  <si>
    <t>** La riduzione si applica alla somma dei totali 1-6 riportati qui sopra senza i contributi di interconnessione (biodiversità)</t>
  </si>
  <si>
    <t>La modifica dei contributi 2015 secondo la decisione del Consiglio federale del 29 ottobre 2014 (modifica dell'ordinanza sui pagamenti diretti; AS 2014 3909) non è stata presa in considerazione, poiché il Parlamento ha aumentati il credito per i pagamenti diretti. La riduzione dei contributi sarà probabilmente annullata con il prossimo pacchetto di ordinanze nella primavera 2015.</t>
  </si>
  <si>
    <t>La riduzione dei contributi 2015 secondo la decisione del Consiglio federale del 29 ottobre 2014 (modifica dell'ordinanza sui pagamenti diretti; AS 2014 3909) non è stata presa in considerazione, poiché il Parlamento ha aumentati il credito per i pagamenti diretti. La riduzione dei contributi sarà probabilmente annullata con il prossimo pacchetto di ordinanze nella primavera 2015.</t>
  </si>
  <si>
    <t>L' adaptation des contributions 2015 selon décision du Conseil fédéral du 29 octobre 2014 (modification de l'ordonnance sur les paiements directs; AS 2014 3909) n'a pas été intégrée dans l'outil de calcul, car le Parlement a augmenté le crédit pour les paiements directs. Cette adaptation des contributions sera probablement annulée par le Conseil fédéral avec le paquet d'ordonnances du printemps 2015.</t>
  </si>
  <si>
    <t>Réduction pour fortune déterminante de Fr.**</t>
  </si>
  <si>
    <t>Réduction pour revenu imposable de Fr.**</t>
  </si>
  <si>
    <t>Riduzione per la sostanza determinante di Fr.**</t>
  </si>
  <si>
    <t>Riduzione per il reddito determinante di Fr.**</t>
  </si>
  <si>
    <t>Kürzung aufgrund des steuerbaren Einkommens um Fr.**</t>
  </si>
  <si>
    <t>Kürzung aufgrund des massgeblichen Vermögens um Fr.**</t>
  </si>
  <si>
    <t>** Voir feuille "limitations"</t>
  </si>
  <si>
    <t>** siehe Register "Begrenzung"</t>
  </si>
  <si>
    <t>** Vedere foglio "limiti"</t>
  </si>
  <si>
    <t>* Montant communiqué par votre canton (décembre 2014) sur le décompte final des paiements directs</t>
  </si>
  <si>
    <t>Valeur de base pour l'exploitation*</t>
  </si>
  <si>
    <t>Valore di base stabilito per la singola azienda*</t>
  </si>
  <si>
    <t>einzelbetrieblicher Basiswert*</t>
  </si>
  <si>
    <t>* Mitgeteilter Betrag in Ihrer Hauptabrechnung der Direktzahlungen (Dezember 2014) von Ihrem Kanton</t>
  </si>
  <si>
    <t>Beiträge für Qualitätsstufe III**</t>
  </si>
  <si>
    <t>Contributions du niveau de qualité 3**</t>
  </si>
  <si>
    <t>Contributo per la qualità (livello qualitativo III) **</t>
  </si>
  <si>
    <t>Streueflächen (851)</t>
  </si>
  <si>
    <t>extensiv genutzte Wiesen (611,622)</t>
  </si>
  <si>
    <t>extensive Weiden und Waldweiden (617, 618)</t>
  </si>
  <si>
    <t>Uferwiese entlang von Fliessgewässern (634)</t>
  </si>
  <si>
    <t>Rebflächen mit natürlicher Artenvielfalt (717)</t>
  </si>
  <si>
    <t>Hecken, Feld- und Ufergehölze (mit Krautsaum) (852)</t>
  </si>
  <si>
    <t>Buntbrache (556)</t>
  </si>
  <si>
    <t>Rotationsbrache (557)</t>
  </si>
  <si>
    <t>Blühstreifen für Bestäuber und andere Nützlinge (572)</t>
  </si>
  <si>
    <t>Berechnung der Begrenzung der BFF QI Beiträge</t>
  </si>
  <si>
    <t>Total Biodiversitätsbeitrag vor Begrenzung</t>
  </si>
  <si>
    <t>Beitrag QI</t>
  </si>
  <si>
    <t>Effektive Reduktion der QI (Beitrag QI - Beitrag QI*Begrenzungsfaktor) um</t>
  </si>
  <si>
    <t>Saum auf Ackerfläche (559)</t>
  </si>
  <si>
    <t>extensiv genutzte Wiesen und Streueflächen (611,622,851)</t>
  </si>
  <si>
    <t>keine Reduktion</t>
  </si>
  <si>
    <t>senza riduzione</t>
  </si>
  <si>
    <t>Fläche QI</t>
  </si>
  <si>
    <t>Fläche QII</t>
  </si>
  <si>
    <t>***</t>
  </si>
  <si>
    <t>Basisfläche**</t>
  </si>
  <si>
    <t>Surface de base**</t>
  </si>
  <si>
    <t>Flächen mit QI Beiträgen (1 Baum = 0.01ha) + Rebfläche mit hoher Artenvielfalt</t>
  </si>
  <si>
    <t>- Mindestarbeitsaufkommen (0.2 SAK)</t>
  </si>
  <si>
    <t>- Charge minimale de travail (0.2 UMOS)</t>
  </si>
  <si>
    <t>- Onere lavorativo minimo (0.2 USM)</t>
  </si>
  <si>
    <t>Auf dem Betrieb müssen mindestens 20 beitragsberechtigte Bäume vorhanden sein, damit die QI Beiträge ausgerichtet werden.</t>
  </si>
  <si>
    <t>wenig intensiv genutzte Wiesen (612,623)</t>
  </si>
  <si>
    <t>Achtung! Flächen der Qualitätsstufe II sind auch zu Beiträgen der Qualitätsstufe I berechtigt. Flächen daher auch bei niedrigeren Qualitätsstufen eingeben.</t>
  </si>
  <si>
    <t>Attention! Les surfaces de qualité 2 comptent aussi pour les contributions de niveau de qualité 1. Saisir les surfaces aussi pour les niveaux de qualité inférieurs.</t>
  </si>
  <si>
    <t>Attenzione ! Le superfici di livello qualitativo 2 contano anche per i contributi di livello qualitativo 1. Scegliere le superficie anche nei livelli di qualità inferiore, in quanto i contributi sono cumulabili.</t>
  </si>
  <si>
    <t>** Die Beiträge für die Qualitätsstufe III treten 2016 aufgrund der administrativen Vereinfachung nicht in Kraft.</t>
  </si>
  <si>
    <t>** Les contributions pour le niveau de qualité 3 n'entrent pas en vigueur en 2016 à cause de la simplification des tâches administratives.</t>
  </si>
  <si>
    <t>Superficie di base**</t>
  </si>
  <si>
    <t>Contributo QI</t>
  </si>
  <si>
    <t>Superficie QI</t>
  </si>
  <si>
    <t>Superficie QII</t>
  </si>
  <si>
    <t>Calcolo della limitazione dei contributi SPB QI</t>
  </si>
  <si>
    <t>Superficie determinante QI (= b)-c) )</t>
  </si>
  <si>
    <t>Schwellenfläche SF (= a)/2)</t>
  </si>
  <si>
    <t>Massgebende Fläche QI (= b)-c) )</t>
  </si>
  <si>
    <t>Sömmerungsbetrieb oder Eingabefehler?</t>
  </si>
  <si>
    <t>Fläche QI = Fläche QII</t>
  </si>
  <si>
    <t>Begrenzungsfaktor (=SF/massgebende Fläche QI)</t>
  </si>
  <si>
    <t>Superficie soglia SO (= a)/2)</t>
  </si>
  <si>
    <t>Alberi da frutto ad alto fusto (922,923)</t>
  </si>
  <si>
    <t>haies, bosquets et berges boisées (avec la bande herbeuse) (852)</t>
  </si>
  <si>
    <t>siepi, boschetti campestri e rivieraschi (con bordo inerbito) (852)</t>
  </si>
  <si>
    <t>jachère florale (556)</t>
  </si>
  <si>
    <t>maggesi fioriti (556)</t>
  </si>
  <si>
    <t>jachère tournante (557)</t>
  </si>
  <si>
    <t>maggesi da rotazione (557)</t>
  </si>
  <si>
    <t>pâturages extensifs et pâturages boisés (617,618)</t>
  </si>
  <si>
    <t>pascoli estensivi e pascoli boschivii (617,618)</t>
  </si>
  <si>
    <t>prairies extensives et surfaces à litière (611,622,851)</t>
  </si>
  <si>
    <t>prati estensivi e terreni da strame  (611,622,851)</t>
  </si>
  <si>
    <t>prairies peu intensives (612,623)</t>
  </si>
  <si>
    <t>prati poco intensivi (612,623)</t>
  </si>
  <si>
    <t>surfaces viticoles présentant une biodiversité naturelle (717)</t>
  </si>
  <si>
    <t>Vgneti con elevata biodiversità naturale (717)</t>
  </si>
  <si>
    <t>prairies riveraines d’un cours d’eau (634)</t>
  </si>
  <si>
    <t>prati rivieraschi lungo i corsi d’acqua (634)</t>
  </si>
  <si>
    <t>prairies extensives (611,622)</t>
  </si>
  <si>
    <t>prati estensivi  (611,622)</t>
  </si>
  <si>
    <t>Strisce fiorite per im-pollinatori e altri organismi utili (572)</t>
  </si>
  <si>
    <t>Basisfläche kontrollieren!</t>
  </si>
  <si>
    <t>Superficie QI = Superficie QII</t>
  </si>
  <si>
    <t>Minimum für den Bezug von DZ: 0,2 SAK</t>
  </si>
  <si>
    <t>Surface QI déterminante (= b)-c) )</t>
  </si>
  <si>
    <r>
      <t xml:space="preserve">Coefficiente di limitazione (= SO/ </t>
    </r>
    <r>
      <rPr>
        <sz val="10"/>
        <rFont val="Calibri"/>
        <family val="2"/>
      </rPr>
      <t>[</t>
    </r>
    <r>
      <rPr>
        <sz val="10"/>
        <rFont val="Arial"/>
        <family val="2"/>
      </rPr>
      <t>b)-c)</t>
    </r>
    <r>
      <rPr>
        <sz val="10"/>
        <rFont val="Calibri"/>
        <family val="2"/>
      </rPr>
      <t>]</t>
    </r>
    <r>
      <rPr>
        <sz val="10"/>
        <rFont val="Arial"/>
        <family val="2"/>
      </rPr>
      <t>)</t>
    </r>
  </si>
  <si>
    <t>Total contributions à la biodiversité avant limitation</t>
  </si>
  <si>
    <t>Totale dei contributi per la biodiversità prima della limitazione</t>
  </si>
  <si>
    <t>Surface QII</t>
  </si>
  <si>
    <t>Surface QI = Surface QII</t>
  </si>
  <si>
    <t>Contribution QI</t>
  </si>
  <si>
    <t>Vérifiez la surface de base!</t>
  </si>
  <si>
    <t>Controllare la superficie di base!</t>
  </si>
  <si>
    <t>Totale delle superfici con contributi QI (1albero = 0.01ha) e vigneti con elevata biodiversità</t>
  </si>
  <si>
    <t>Flächen mit QII Beiträgen (1 Baum = 0.01ha) (ohne Artenreiche Grün- und Streuflächen im Sömmerungsgebiet)</t>
  </si>
  <si>
    <t>Zusammenfassung</t>
  </si>
  <si>
    <t>Beiträge auf Sömmerungsbetrieb</t>
  </si>
  <si>
    <t>weitere Beiträge</t>
  </si>
  <si>
    <t>Surface-seuil SS (= a)/2)</t>
  </si>
  <si>
    <r>
      <t xml:space="preserve">Facteur de limitation (= SS/ </t>
    </r>
    <r>
      <rPr>
        <sz val="10"/>
        <rFont val="Calibri"/>
        <family val="2"/>
      </rPr>
      <t>Surface QI déterminante</t>
    </r>
    <r>
      <rPr>
        <sz val="10"/>
        <rFont val="Arial"/>
        <family val="2"/>
      </rPr>
      <t>)</t>
    </r>
  </si>
  <si>
    <t>Surface QI</t>
  </si>
  <si>
    <t xml:space="preserve">Total des surfaces avec contributions QI (1 arbre = 0.01 ha) + surfaces viticoles présentant une riche biodiversité </t>
  </si>
  <si>
    <t>Total des surfaces avec contributions QII (1 arbre = 0.01 ha), sans les herbages et surfaces à litière riches en espèces de la région d'estivage</t>
  </si>
  <si>
    <t>pas de réduction</t>
  </si>
  <si>
    <t>Les contributions QI sont octroyées à partir de 20 arbres donnant droit à des contributions par exploitation.</t>
  </si>
  <si>
    <t>Exploitation d'estivage ou erreur de saisie ?</t>
  </si>
  <si>
    <t>Minimum pour le versement des PD: 0.2 UMOS</t>
  </si>
  <si>
    <t>Récapitulation</t>
  </si>
  <si>
    <t>Autres contributions</t>
  </si>
  <si>
    <t>Contribution d'estivage</t>
  </si>
  <si>
    <t>bandes fleuries pour pollinisateurs et autres organismes utiles (572)</t>
  </si>
  <si>
    <t>Calcul de la limitation des contributions pour les SPB QI</t>
  </si>
  <si>
    <t>Réduction effective (Contribution QI - Contr. QI x Facteur de limitation)</t>
  </si>
  <si>
    <t>Contrib. sur l'exploitation d'estivage</t>
  </si>
  <si>
    <t>Contributions à la qualité du paysage sur l'exploitation d'estivage</t>
  </si>
  <si>
    <t>Contrib. herbages et surfaces à litière riches en espèces de la région d'estivage</t>
  </si>
  <si>
    <t>Ce récapitulatif est le détail des contributions concernant l'exploitation d'estivage: celles-ci sont déjà incluses dans la récapitulation des contributions ci-contre.</t>
  </si>
  <si>
    <t>Surface de base = Surface agricole utile donnant droit aux contributions (voir définition dans feuille "Transition"), sauf surfaces exploitées par tradition à l'étranger, + 0.01 ha par arbre fruitier haute-tige, noyer, châtaignier QI.</t>
  </si>
  <si>
    <t>ourlet sur terres assolées (559)</t>
  </si>
  <si>
    <t>strisce su superficie coltiva (559)</t>
  </si>
  <si>
    <t>surfaces à litière (851)</t>
  </si>
  <si>
    <t>superficie da strame (851)</t>
  </si>
  <si>
    <t>noyers (922)</t>
  </si>
  <si>
    <t>Noci (922)</t>
  </si>
  <si>
    <t>Nussbäume (922)</t>
  </si>
  <si>
    <t>SPB spécifique à la région (594)</t>
  </si>
  <si>
    <t>regionsspezifische BFF (594)</t>
  </si>
  <si>
    <t>SPB specifica della regione (594)</t>
  </si>
  <si>
    <t>arbres fruitiers haute-tige (sans les noyers) (921,923)</t>
  </si>
  <si>
    <t>arbres fruitiers haute-tige (y-compris noyers), arbres isolés adaptés au site et allées d'arbres (921, 922, 923, 924)</t>
  </si>
  <si>
    <t>Hochstamm-Feldobstbäume (inkl. Nussbäume), standortgerechte Einzelbäume und Alleen (921, 922, 923, 924)</t>
  </si>
  <si>
    <t>alberi da frutto ad alto fusto (compresi i noci), alberi isolati adatti al sito, viali alberati (921, 922, 923, 924)</t>
  </si>
  <si>
    <t>Landschaftsqualitätsbeiträge</t>
  </si>
  <si>
    <t>contributi per la qualità del paesaggio</t>
  </si>
  <si>
    <t>Beiträge für artenreiche Grün- und Streuflächen im Sömmerungsgebiet</t>
  </si>
  <si>
    <t>contributi per i superficie inerbite e a strame ricche di specie nelle regioni d'estivazione</t>
  </si>
  <si>
    <t>Diese Zusammenfassung ist ein Auszug für die Sömmerungsbetriebe. Alle Beiträge sind schon im nebenstehenden Total der DZ enthalten.</t>
  </si>
  <si>
    <t>Totale delle superfici con contributi QII (1 albero = 0.01 ha), senza superficie inerbite e a strame ricche di specie nelle regioni d'estivazione</t>
  </si>
  <si>
    <t xml:space="preserve">Per ottenere i contributi Q1 ci devono essere in azienda almeno 20 alberi con diritto ai contributi </t>
  </si>
  <si>
    <t>Azienda d'estivazione o errore di battitura?</t>
  </si>
  <si>
    <t>Minimo per i pagamenti diretti: 0.2 USM</t>
  </si>
  <si>
    <t>Contributi per azienda d'estivazione</t>
  </si>
  <si>
    <t>Riassunto</t>
  </si>
  <si>
    <t>Altri contributi</t>
  </si>
  <si>
    <t>Contributo d'estivazione</t>
  </si>
  <si>
    <t>Il riassunto è un estratto per i regioni d'estivazione. Tutti i posti sono già inclusi nella adiacente "Totale pagamenti diretti e contributi".</t>
  </si>
  <si>
    <t>Hochstamm-Feldobstbäume (inkl. Nussbäume, Kastanien) (921,922,923)</t>
  </si>
  <si>
    <t>Alberi da frutto ad alto fusto (compresi i noci, castagno) (921,922,923)</t>
  </si>
  <si>
    <t>arbres fruitiers haute-tige (y-compris noyers et châtaigne) (921,922, 923)</t>
  </si>
  <si>
    <t>Hochstamm-Feldobstbäume (922,923)</t>
  </si>
  <si>
    <t>** I contributi per il livello qualitativo III no entrano in vigore in 2016.</t>
  </si>
  <si>
    <t>Basisfläche = Beitragsberechtigte Flächen (siehe Definition im Blatt "Übergang"), ohne die angestammten Flächen im Ausland, plus 0.01 ha je Hochstamm-Feldobstbaum (inkl. Nussbaum) und Kastanien mit QI.</t>
  </si>
  <si>
    <t xml:space="preserve">Die automatisch berechnete Zahl ist die Summe der Flächen aus dem Register "Versorgungssicherheit" (oA+Dauerkulturen, KW, BFF, Grünland ausser BFF) + 556,557,559,572,851 + Hecken, Feld-/Ufergehölz QI + Bäume QI (0.01ha je Baum). Die Fläche muss kontrolliert und evtl. korrigiert werden, damit sie der Definition der Basisfläche** entspricht. </t>
  </si>
  <si>
    <t>Il valore calcolato corrisponde alla somma delle superfici del foglio "approvvigionamento" (campi coltivati+culture perenni, prati artificiali, superfici per la biodiversità, prati e pascoli senza superfici per la biodiversità) +  556,557,559,572,851 + siepi, boschetti campestri e rivieraschi Q1 + alberi Q1 (0.01 ha per albero). Esso dev'essere controllato e eventualmente corretto, affinché corrisponda alla definizione della superficie di base**.</t>
  </si>
  <si>
    <r>
      <t xml:space="preserve">**Superficie di base = Superficie agricola utile con diritto ai contributi (vedere le definizioni nel folio “Transizione”), senza le superfici nelle zone estere limitrofe gestite per tradizione , </t>
    </r>
    <r>
      <rPr>
        <u/>
        <sz val="10"/>
        <rFont val="Arial"/>
        <family val="2"/>
      </rPr>
      <t>tuttavia con</t>
    </r>
    <r>
      <rPr>
        <sz val="10"/>
        <rFont val="Arial"/>
        <family val="2"/>
      </rPr>
      <t xml:space="preserve"> siepi Q1 e 0.01 ha per ogni albero ad alto fusto, castagno o noce Q1.</t>
    </r>
  </si>
  <si>
    <t>Superfici considerate per i contributi: SAU, comprese le superfici nelle zone estere limitrofe gestite per tradizione. Sono esclusi: le materie prime rinnovabili (kenaf, miscanto ecc.), siepi e boschetti campestri e rivieraschi, rovi, superfici da strame, maggesi, strice su superifici coltive, boschetti campestri e rivieraschi, strisce fiorite per im-pollinatori.</t>
  </si>
  <si>
    <t>2014 - 2016:700
dal 2017:1000</t>
  </si>
  <si>
    <t>* Somma indicata nel calcolo principale dei pagamenti diretti (dicembre 2014) del vostro Cantone</t>
  </si>
  <si>
    <t>Riduzione effettiva del QI (Contributo QI- Contr. QI*Coefficiente di limitazione)</t>
  </si>
  <si>
    <t>pro Baum (QI)</t>
  </si>
  <si>
    <t>par arbre (QI)</t>
  </si>
  <si>
    <t>per albero (QI)</t>
  </si>
  <si>
    <t>Le chiffre calculé automatiquement est la somme des surfaces de l'onglet "Sécurité de l'approvisionnement" (terres ouvertes, cultures pérennes, prairies temporaires, SPB herbagères et surfaces herbagères permanentes hors SPB) + 556,557,559,572,851 + haies, bosquets et berges boisées QI + arbres QI (0.01 ha par arbre). Il doit être contrôlé et éventuellement corrigé, afin qu'il corresponde à la définition de la surface de base**.</t>
  </si>
  <si>
    <t>Präzise Applikationstechniken***</t>
  </si>
  <si>
    <t>Techniques d'application de précision***</t>
  </si>
  <si>
    <t>Tecniche d'applicazione precise***</t>
  </si>
  <si>
    <t>*** Unterblattspritztechnik (Dropleg), driftreduzierende Spritzgeräte im Obst- und Weinbau</t>
  </si>
  <si>
    <t>***Pulvérisation sous-foliaire (droplegs); pulvérisateurs anti-dérive utilisés en arboriculture fruitière et en viticulture.</t>
  </si>
  <si>
    <t>*** Irrorazione della pagina inferiore della foglia (dropleg); irrorazione con sistemi antideriva in frutti- e viticoltura</t>
  </si>
  <si>
    <t>**</t>
  </si>
  <si>
    <t>**mais au max. 300 par PN</t>
  </si>
  <si>
    <t>Terrains en pente 18 - 35%</t>
  </si>
  <si>
    <t>Flächen in Hanglage 18 - 35%</t>
  </si>
  <si>
    <t>Terreni in pendenza 18 - 35%</t>
  </si>
  <si>
    <t>Flächen in Hanglage 35 - 50%</t>
  </si>
  <si>
    <t>Terrains en pente 35 - 50%</t>
  </si>
  <si>
    <t>Terreni in pendenza 35 - 50%</t>
  </si>
  <si>
    <t>Terrains en pente &gt; 50%</t>
  </si>
  <si>
    <t>Flächen in Hanglagen &gt; 50%</t>
  </si>
  <si>
    <t>Terreni in declività &gt; 50%</t>
  </si>
  <si>
    <t xml:space="preserve">***Der Basisbeitrag Versorgungssicherheit hat der Bundesrat am 15.9.16 per 2017 um Fr. 40.-/ha auf Fr. 860.-/ha gesenkt. Da das Parlament den Kredit Direktzahlungen Landwirtschaft nicht gekürzt hat, besteht die Möglichkeit, dass der Bundesrat den Basisbeitrag Anfang 2017 wieder auf das Vorjahresniveau anhebt. </t>
  </si>
  <si>
    <t>Abschnitt 4 DZV: Art. 82a</t>
  </si>
  <si>
    <t>Texte angepasst aus:</t>
  </si>
  <si>
    <t>**max. aber 300 je NST</t>
  </si>
  <si>
    <t>DZV Anhang 7 Beitragsansätze, Ziff. 3.1.1 Ziff. 12</t>
  </si>
  <si>
    <t>DZV Anhang 7 Beitragsansätze, Ziff. 6.4</t>
  </si>
  <si>
    <t>EKBV Art. 1 Abs. 2 Bst. f</t>
  </si>
  <si>
    <t>***Le15.09.2016 le Conseil fédéral a réduit la contribution de base à la sécurité de l'approvisionnement pour 2017 de CHF 40.-/ha (à CHF 860.-/ha). Comme le Parlement n'a pas réduit le crédit pour les paiements directs agricoles, il est possible que le Conseil fédéral relève la contribution de base au niveau de l'année précédente début 2017.</t>
  </si>
  <si>
    <t>Saatgut von Kartoffeln und Mais</t>
  </si>
  <si>
    <t>Plants de pommes de terre et semences de maïs</t>
  </si>
  <si>
    <t>Piante di patate e semente di mais</t>
  </si>
  <si>
    <t>Saatgut von Futtergräsern und Futterleguminosen</t>
  </si>
  <si>
    <t>Semences de graminées et légumineuses fourragères</t>
  </si>
  <si>
    <t>Semente di graminacee e di leguminose foraggiere</t>
  </si>
  <si>
    <t>Lupins</t>
  </si>
  <si>
    <t>Céréales (sans maïs grain)</t>
  </si>
  <si>
    <t>keine Beiträge werden ausgerichtet für Ackerschonstreifen</t>
  </si>
  <si>
    <t>Aucune contribution n’est versée pour les bandes culturales extensives</t>
  </si>
  <si>
    <t>Beiträge für einzelne Kulturen (nach Einzelkulturbeitragsverordnung)</t>
  </si>
  <si>
    <t>Contributions pour des cultures particulières (selon Ord. sur les contrib. à des cultures particulières)</t>
  </si>
  <si>
    <t>Contributo per singole colture (secondo Ordinanza sui contributi per singole colture)</t>
  </si>
  <si>
    <t>Cerfs et bisons</t>
  </si>
  <si>
    <t>Porcs sans porcelets allaités, ni verrats d’élevage de plus de 6 mois</t>
  </si>
  <si>
    <t xml:space="preserve">Z P: 1080; ZC: 860; </t>
  </si>
  <si>
    <t>ZM 1-2: 500; ZM 3-4: 450</t>
  </si>
  <si>
    <t xml:space="preserve">Z P: 1440; ZC: 1220; </t>
  </si>
  <si>
    <t>ZM1-2:860; ZM3-4:680</t>
  </si>
  <si>
    <t xml:space="preserve">Z P: 1920; ZC: 1840; </t>
  </si>
  <si>
    <t>ZM1-2:1700; ZM3-4:1100</t>
  </si>
  <si>
    <t xml:space="preserve">Z P: 2060; ZC: 1980; </t>
  </si>
  <si>
    <t>ZM1-2:1840; ZM3-4:1770</t>
  </si>
  <si>
    <t>Alimentation biphase des porcs appauvrie en matière azotée</t>
  </si>
  <si>
    <t>Contribution pour la réduction des produits phytosanitaires</t>
  </si>
  <si>
    <t>Lupinen</t>
  </si>
  <si>
    <t>Hirsche und Bisons</t>
  </si>
  <si>
    <t>Beitrag für die Reduktion von Pflanzenschutzmittel</t>
  </si>
  <si>
    <t>Contributo per la riduzione dei prodotti fitosanitari</t>
  </si>
  <si>
    <t>Contributo per il foraggiamento scaglionato di suini a tenore ridotto di azoto</t>
  </si>
  <si>
    <t>cervi e bisonti</t>
  </si>
  <si>
    <t>TZ: 1440; HZ: 1220</t>
  </si>
  <si>
    <t>BZ I-II:860;BZ III-IV:680</t>
  </si>
  <si>
    <t>ZP: 1440; ZC: 1220</t>
  </si>
  <si>
    <t>ZM1-2: 860; ZM3-4: 680</t>
  </si>
  <si>
    <t>TZ: 1920; HZ: 1840</t>
  </si>
  <si>
    <t>BZ I-II:1700;BZ III-IV:1100</t>
  </si>
  <si>
    <t>TZ: 2060; HZ: 1980</t>
  </si>
  <si>
    <t>BZ I-II:1840;BZ III-IV:1770</t>
  </si>
  <si>
    <t xml:space="preserve">ZP: 1920; ZC: 1840; </t>
  </si>
  <si>
    <t xml:space="preserve">ZP: 2060; ZC: 1980; </t>
  </si>
  <si>
    <t>BZ I-II: 500; BZ III-IV: 450</t>
  </si>
  <si>
    <t>TZ: 1080; HZ: 860</t>
  </si>
  <si>
    <t>Schweine ohne Saugferkel oder Zuchteber über 6 Mte</t>
  </si>
  <si>
    <t>Suini senza lattonzoli o verri sopra i 6 mesi</t>
  </si>
  <si>
    <t>*** Il 15.9.2016 il Consiglio federale ha ridotto il contributo di base per la sicurezza all'approvigionamento per il 2017 di 40 Fr./ha (a 860 Fr./ha). Siccome il Parlamento non ha ridotto il credito per i pagamenti diretti, è possibile che il Consiglio federale riporti il contributo al livello del 2017.</t>
  </si>
  <si>
    <t>Lupine</t>
  </si>
  <si>
    <t>Nessun contributo per le fasce di colture estensive</t>
  </si>
  <si>
    <t>** ma al massimo 300 per CN</t>
  </si>
  <si>
    <t>Zusatzbeitrag für Milchkühe, Milchschafe u. Milchziegen (zusätzlich zu den Beiträgen oben)</t>
  </si>
  <si>
    <t>Stickstoffreduzierte Phasenfütterung von Schweinen</t>
  </si>
  <si>
    <t>zusätzlicher Beitrag männliche Tiere der Rindergattung sowie weibliche Kälber und Jungrinder, wenn sie im Sommerhalbjahr ausschliesslich geweidet werden.</t>
  </si>
  <si>
    <t>effektive Bestossung</t>
  </si>
  <si>
    <t>Charge effective</t>
  </si>
  <si>
    <t>Contribution supplémentaire pour les vaches laitières, les brebis laitières et les chèvres laitières (en complément des contributions ci-dessus)</t>
  </si>
  <si>
    <t>Charge usuelle</t>
  </si>
  <si>
    <t>Carico usuale</t>
  </si>
  <si>
    <t>Contribution supplémentaire pour les bovins mâles, ainsi que pour les veaux femelles et les jeunes bovins, qui séjournent uniquement au pâturage pendant le semestre d’été</t>
  </si>
  <si>
    <t>- Superficie agricola utile con diritto ai contributi: SAU senza canapa, vivai forestali, alberelli di Natale, vivai, piantes ornamentali, serre con fondamenta fisse e floricoltura di pieno compo (si veda anche la Guida d'applicazione del promemoria n. 6, Catalogo delle superfici)</t>
  </si>
  <si>
    <t>Stato secondo il pacchetto di ordinanze agricole - autunno 2021. AGRIDEA declina ogni responsabilità sulle conseguenze derivanti dall'utilizzo di questo foglio di calcolo.                                                                                                                                                                                       Versione 4.8.3</t>
  </si>
  <si>
    <t>Surface donnant droit aux contributions: SAU donnant droit aux contributions (+ surfaces situées en zone limitrophe étrangère et exploitées par tradition), sauf matières premières renouvelables (kenaf, roseau de Chine), jachères, ourlets sur terres assolées, mûriers, surfaces à litière, haies, bosquets et berges boisées, bandes fleuries pour les pollinisateurs, chanvre pour l’utilisation des fibres.</t>
  </si>
  <si>
    <t xml:space="preserve">Beitragsberechtigte Fläche: Beitragsberechtigte LN (+angestammte Fläche im Ausland), ohne nachwachsende Rohstoffe (Kenaf, Chinaschilf), Brachen, Saum auf Ackerfläche, Maulbeerbäume, Streuefläche, Hecken, Feld- und Ufergehölze, Blühstreifen für Bestäuber, Hanf zur Fasernutzung. </t>
  </si>
  <si>
    <t>- Beitragsberechtigte Landwirtschaftliche Nutzfläche: Landwirtschaftliche Nutzfläche, ohne Baumschulen, Forstpflanzen, Christbäume, Zierpflanzen, Hanf, der nicht zur Nutzung der Fasern oder der Samen angebaut wird, und Gewächshäuser mit festem Fundament und gärtnerische Freilandkulturen (siehe auch Vollzugshilfe Merkblatt Nr.6.2: Flächenkatalog)</t>
  </si>
  <si>
    <t>- Surface agricole utile donnant droit aux contributions: SAU sauf chanvre non cultivé pour l’utilisation des fibres ou des graines, plantes forestières, sapins de Noël, pépinières, plantes ornementales, serres avec fondations permanentes, cultures horticoles (voir aussi Aide à l'exécution Feuille d'information n°6.2: catalogue des surfaces)</t>
  </si>
  <si>
    <t>(2014: 0.4724; 2015: 0.2796; 2016: 0.2619; 2017: 0.2116; 2018: 0.1918; 2019: 0.1795; 2020: 01403; 2021: 0.1109; Schätzung des WBF: 2022: 0,10)</t>
  </si>
  <si>
    <t>(2014: 0.4724; 2015: 0.2796; 2016: 0.2619; 2017: 0.2116; 2018: 0.1918; 2019: 0.1795; 2020: 01403; 2021: 0.1109; estimation du DEFR: 2022: 0,10)</t>
  </si>
  <si>
    <t>(2014: 0.4724; 2015: 0.2796; 2016: 0.2619; 2017: 0.2116; 2018: 0.1918; 2019: 0.1795; 2020: 01403; 2021: 0.1109; previsione del DEFR: 2022: 0,10)</t>
  </si>
  <si>
    <t>Angemessene Bedeckung des Bodens</t>
  </si>
  <si>
    <t>Verbesserung der Bodenfruchtbarkeit</t>
  </si>
  <si>
    <t>Verzicht auf Pflanzenschutzmittel</t>
  </si>
  <si>
    <t>Verzicht auf Insektizide, Akarizide und Fungizide nach der Blüte bei Dauerkulturen</t>
  </si>
  <si>
    <t>Bewirtschaftung von Flächen mit Dauerkulturen mit Hilfsmitteln nach der biologischen Landwirtschaft</t>
  </si>
  <si>
    <t>Verzicht auf Herbizide im Ackerbau und in Spezialkulturen</t>
  </si>
  <si>
    <t>Hauptkulturen der übrigen Ackerfläche</t>
  </si>
  <si>
    <t>Nützlingsstreifen auf offener Ackerfläche</t>
  </si>
  <si>
    <t>Schonende Bodenbearbeitung von Hauptkulturen auf der Ackerfläche</t>
  </si>
  <si>
    <t xml:space="preserve">Gesamtbetrieblich ma. 90% des N-Bedarfs gedüngt (1=nein; 2=ja) </t>
  </si>
  <si>
    <t>Tiere der Rindergattung und Wasserbüfel &gt; 160 Tage</t>
  </si>
  <si>
    <t>*Kein RAUS-Beitrag wird ausgerichtet für Tierkategorien, für die bereits der Weidebeitrag ausgerichtet wird</t>
  </si>
  <si>
    <t>*Der Weidebeitrag wird nur ausgerichtet, wenn allen Tieren der Rindergattung und Wasserbüffel mindestens Auslauf nach RAUS-Vorgaben gewährt wird</t>
  </si>
  <si>
    <t>*Der genaue Beitrag errechnet sich jedes Jahr aus den für die Zulage bewilligten Mitteln und der zur Zulage berechtigenden Getreidefläche</t>
  </si>
  <si>
    <t>*La contribution exacte est calculée chaque année sur la base des moyens autorisés pour le supplément et de la superficie céréalière donnant droit au supplément</t>
  </si>
  <si>
    <t>Betrag = Faktor x 600</t>
  </si>
  <si>
    <t>Betrag = Faktor x 300</t>
  </si>
  <si>
    <t>Montant = 600 x % ch.</t>
  </si>
  <si>
    <t>Montant = 300 x % ch.</t>
  </si>
  <si>
    <t>Importo = fattore x 600</t>
  </si>
  <si>
    <t>Importo = fattore x 300</t>
  </si>
  <si>
    <t>Längere Nutzungsdauer von Kühen</t>
  </si>
  <si>
    <t>Milchkühe</t>
  </si>
  <si>
    <t>Andere Kühe</t>
  </si>
  <si>
    <t>Non-recours aux produits phytosanitaires</t>
  </si>
  <si>
    <t>Non-recours aux insecticides, aux acaricides et aux fongicides dans les cultures pérennes après la floraison</t>
  </si>
  <si>
    <t>Non-recours aux insecticides et aux acaricides dans les cultures maraîchères et les cultures de petits fruits</t>
  </si>
  <si>
    <t>Verzicht auf Insektizide und Akarizide im Gemüse- und Beerenanbau</t>
  </si>
  <si>
    <t>Exploitation de surfaces de cultures pérennes à l’aide d’intrants conformes à l’agriculture biologique</t>
  </si>
  <si>
    <t>Non-recours aux herbicides dans les grandes cultures et les cultures spéciales</t>
  </si>
  <si>
    <t>Colza, pommes de terre, légumes de conserve de plein champ et betteraves sucrières</t>
  </si>
  <si>
    <t>Blé panifiable, le blé dur, le blé fourrager, le seigle, l’épeautre, l’avoine, l’orge, le triticale, le riz en culture sèche, l’amidonnier et l’engrain ainsi que les mélanges de ces céréales, le lin, les tournesols, les pois en grains, les haricots en grains, les lupins ainsi que pour les mélanges de pois en grains, de haricots en grains ou de lupins avec des céréales</t>
  </si>
  <si>
    <t>Brotweizen, Hartweizen, Futterweizen, Roggen, Dinkel, Hafer, Gerste, Triticale, Trockenreis, Emmer und Einkorn sowie Mischungen dieser Getreidearten, Lein, Sonnenblumen, Erbsen zur Körnergewinnung, Bohnen zur Körnergewinnung, Lupinen, Mischungen von Erbsen zur Körnergewinnung, Bohnen zur Körnergewinnung oder Lupinen mit Getreide</t>
  </si>
  <si>
    <t>Raps, Kartoffeln, Freiland-Konservengemüse und Zuckerrüben</t>
  </si>
  <si>
    <t>Verzicht auf Pflanzenschutzmittel im Ackerbau</t>
  </si>
  <si>
    <t>Raps, Kartoffeln und Freiland-Konservengemüse</t>
  </si>
  <si>
    <t>Cultures principales sur les autres terres ouvertes</t>
  </si>
  <si>
    <t>Colza, pommes de terre et légumes de conserve de plein champ</t>
  </si>
  <si>
    <t>Funktionale Biodiversität</t>
  </si>
  <si>
    <t>Klimamassnahmen</t>
  </si>
  <si>
    <t xml:space="preserve">Biodiversité fonctionnelle </t>
  </si>
  <si>
    <t xml:space="preserve">Mesures en faveur du climat </t>
  </si>
  <si>
    <t xml:space="preserve">Modes de production particulièrement respectueux des animaux </t>
  </si>
  <si>
    <t>Nützlingsstreifen</t>
  </si>
  <si>
    <t>Bandes semées pour organismes utiles</t>
  </si>
  <si>
    <t>Bandes semées pour organismes utiles dans les terres ouvertes</t>
  </si>
  <si>
    <t>Nützlingsstreifen in Dauerkultur (Reben, Obstanlagen, Beerenkulturen, Permakultur)</t>
  </si>
  <si>
    <t>Bandes semées pour organismes utiles dans les cultures pérennes (vigne, culture fruitière, culture de petits fruits, permaculture)</t>
  </si>
  <si>
    <t>a) - Kein Beitrag wird ausgerichtet für Mais; Getreide siliert; Spezialkulturen; Biodiversitätsförderflächen nach Art. 55 mit Ausnahme Getreide in weiter Reihe; Kulturen, für die nach Art. 18, Abs. 1-5 Insektizide und Fungizide nicht angewendet werden dürfen</t>
  </si>
  <si>
    <t>a) - Aucune contribution n’est versée pour: le maïs, les céréales ensilées, les cultures spéciales, les surfaces de promotion de la biodiversité visées à l’art. 55, à l’exception des céréales en lignes de semis espacées, les cultures dans lesquelles les insecticides et fongicides ne doivent pas être utilisés en vertu de l’art. 18, al. 1 à 5</t>
  </si>
  <si>
    <t>b) - Kein Beitrag wird ausgerichtet für Freiland-Konservengemüse</t>
  </si>
  <si>
    <t>b) - Aucune contribution n’est versée pour les légumes de conserve de plein champ</t>
  </si>
  <si>
    <t>c) - Kein Beitrag wird ausgerichtet für Flächen, für die ein Beitrag biologische Landwirtschaft ausgerichtet wird</t>
  </si>
  <si>
    <t>c) - Aucune contribution n’est octroyée pour les surfaces pour lesquelles une contribution pour l'agriculture biologique est versée</t>
  </si>
  <si>
    <t>d) - Kein Beitrag wird ausgerichtet für Biodiversitätsförderflächen nach Artikel 55 (mit Ausnahme von Getreide in weiter Reihe), Nützlingsstreifen auf offener Ackerfläche nach Artikel 71b Absatz 1 Buchstabe a, Anbau von Pilzen, Kulturen in geschütztem Anbau</t>
  </si>
  <si>
    <t>e)</t>
  </si>
  <si>
    <t>Couverture appropriée du sol</t>
  </si>
  <si>
    <t>Amélioration de la fertilité du sol</t>
  </si>
  <si>
    <t>Terres assolées en semis direct, semis en bandes fraisées, semis en bandes (strip-till) ou semis sous litière</t>
  </si>
  <si>
    <t>Techniques culturales préservant le sol dans les cultures principales sur terres assolées</t>
  </si>
  <si>
    <t>f)</t>
  </si>
  <si>
    <t>Ackerfläche mit Direktsaat, Streifenfrässaat, Streifensaat (Strip-Till) oder Mulchsaat</t>
  </si>
  <si>
    <t>Effizienter Stickstoffeinsatz im Ackerbau</t>
  </si>
  <si>
    <t>Utilisation efficiente de l’azote dans les grandes cultures</t>
  </si>
  <si>
    <t>Ackerfläche</t>
  </si>
  <si>
    <t>Terres assolées</t>
  </si>
  <si>
    <t>gesamtbetrieblich übersteigt die Zufuhr an Stickstoff nicht 90 Prozent des Bedarfs der Kulturen (für die Bilanzierung gilt die Methode «Suisse-Bilanz»)</t>
  </si>
  <si>
    <t>L’apport en azote dans l’ensemble de l’exploitation ne dépasse pas 90 % des besoins des cultures (bilan calculé à l’aide de la méthode «Suisse-Bilanz»)</t>
  </si>
  <si>
    <t>Oui = 1; Non = 0</t>
  </si>
  <si>
    <t>Ja = 1; Nein = 0</t>
  </si>
  <si>
    <t>Contribution à la mise au pâturage</t>
  </si>
  <si>
    <t>Weidebeitrag</t>
  </si>
  <si>
    <t>*La contribution n’est octroyée que si des sorties selon les règles SRPA sont accordées à tous les animaux des catégories bovins et buffles d’Asie</t>
  </si>
  <si>
    <t>Bovins et buffles d'Asie &gt;160 jours</t>
  </si>
  <si>
    <t>Regelmässiger Auslauf im Freien (RAUS)</t>
  </si>
  <si>
    <t>Sorties régulières en plein air (SRPA)</t>
  </si>
  <si>
    <t>Uscita regolare all'aperto (URA)</t>
  </si>
  <si>
    <t>*Aucune contribution SRPA n’est octroyée pour les catégories d’animaux pour lesquelles une contribution à la mise au pâturage est versée</t>
  </si>
  <si>
    <t>Tiere der Pferdegattung, Ziegen und Schafe über 1 jährig</t>
  </si>
  <si>
    <t>Equidés, chèvres et moutons &gt; 1 an</t>
  </si>
  <si>
    <t>Equini, caprini e ovini &gt; 1 anno</t>
  </si>
  <si>
    <t>Durée de vie productive plus longue des vaches</t>
  </si>
  <si>
    <t>Vaches laitières</t>
  </si>
  <si>
    <t>Autres vaches</t>
  </si>
  <si>
    <t>durchschnittlichen Anzahl Abkalbungen</t>
  </si>
  <si>
    <t>Nombre moyen de vêlages</t>
  </si>
  <si>
    <t>*der in den vorangehenden drei Kalenderjahren geschlachteten Tiere des Betriebes</t>
  </si>
  <si>
    <t>*par vache qui a été abattue au cours des trois années civiles précédentes</t>
  </si>
  <si>
    <t>**der Betrag ist proportional zur durchschnittlichen Anzahl der Abkalbungen: für Milchkühe zwischen 10 Franken bei durchschnittlich 3 Abkalbungen und 200 Franken bei durchschnittlich 7 Abkalbungen und mehr; für andere Kühe: zwischen 10 Franken bei durchschnittlich 4 Abkalbungen und 200 Franken bei durchschnittlich 8 Abkalbungen und mehr</t>
  </si>
  <si>
    <t>Getreidezulage</t>
  </si>
  <si>
    <t>Supplément pour les céréales</t>
  </si>
  <si>
    <t>Zusatzbeitrag für Zuckerrüben zur Zuckerherstellung</t>
  </si>
  <si>
    <t>**Le supplément est versé à la condition qu’une des contributions suivantes soit versée: la contribution pour l’agriculture biologique ou la contribution pour le non-recours aux fongicides et aux insecticides.</t>
  </si>
  <si>
    <t>**Der Zusatzbeitrag wird ausgerichtet, wenn auch einer der folgenden Beiträge ausgerichtet wird: Beitrag für biologische Landwirtschaft, oder Beitrag für den Verzicht auf Fungizide und Insektizide</t>
  </si>
  <si>
    <t xml:space="preserve">**Le montant est proportionnel au nombre moyen de vêlages: pour les vaches laitières entre 10 francs pour une moyenne de 3 vêlages et 200 francs pour une moyenne de 7 vêlages et plus;
pour les autres vaches: entre 10 francs pour une moyenne de 4 vêlages et 200 francs pour une moyenne de 8 vêlages et plus
</t>
  </si>
  <si>
    <t>Berechnung der Direktzahlungen ab 2023</t>
  </si>
  <si>
    <t>Calcul des paiements directs à partir de 2023</t>
  </si>
  <si>
    <t>Calcolo dei pagamenti diretti a partire dal 2023</t>
  </si>
  <si>
    <t>Contribution supplémentaire pour les betteraves destinées à la fabrication de sucre</t>
  </si>
  <si>
    <t>Non-recours aux produits phytosanitaires dans les grandes cultures</t>
  </si>
  <si>
    <t>Arboriculture fruitière, pour les vergers au sens de l’art. 22, al. 2, Oterm, viticulture, culture de petits fruits, permaculture exploitées à l’aide d’intrants conformes à l’agriculture biologique</t>
  </si>
  <si>
    <t>d) - Aucune contribution n’est versée pour les surfaces de promotion de la biodiversité selon l’art. 55 (à l’exception des céréales en lignes de semis espacées), les bandes semées pour organismes utiles dans les terres ouvertes selon l’art. 71b, al. 1, let. a, la culture de champignons, les surfaces cultivées toute l’année sous abri</t>
  </si>
  <si>
    <t>e) - Aucune contribution n’est versée pour les bandes semées pour organismes utiles, dans le cas des surfaces viticoles présentant une biodiversité naturelle selon l’art. 55, al. 1, let. n, et des surfaces de promotion de la biodiversité spécifiques à la région selon l’art. 55, al. 1, let. p</t>
  </si>
  <si>
    <t>e) - Kein Beitrag wird ausgerichtet für Nützlingsstreifen in Rebflächen mit natürlicher Artenvielfalt nach Artikel 55 Absatz 1 Buchstabe n, und regionsspezifische Biodiversitätsförderflächen nach Artikel 55 Absatz 1 Buchstabe p</t>
  </si>
  <si>
    <t>Total Direktzahlungen und Beiträge 2023</t>
  </si>
  <si>
    <t>Total paiements directs et contributions 2023</t>
  </si>
  <si>
    <t>Totale pagamenti diretti e contributi 2023</t>
  </si>
  <si>
    <t>Ackerschonstreifen</t>
  </si>
  <si>
    <t>bandes culturales extensives</t>
  </si>
  <si>
    <t>fasce di colture estensive</t>
  </si>
  <si>
    <t>Getreide in weiter Reihe</t>
  </si>
  <si>
    <t>céréales en lignes de semis espacées</t>
  </si>
  <si>
    <t>GVE Kühe</t>
  </si>
  <si>
    <t>UGB vaches</t>
  </si>
  <si>
    <t>Le facteur pour la contribution de transition va probablement augmenter en 2023 et se monter à environ 0.2 à 0.25, puis il devrait de nouveau diminuer, en fonction de la participation aux nouveaux programmes</t>
  </si>
  <si>
    <t>Der Faktor für den Übergangsbeitrag wird 2023 vermutlich wieder steigen und ungefähr 0.2 bis 0.25 betragen, anschliessend aber wieder sinken, je nach Beteiligung an den neuen Programmen</t>
  </si>
  <si>
    <t>(Herbizideinsatz erlaubt)</t>
  </si>
  <si>
    <t>(Emploi d'herbicide autorisé)</t>
  </si>
  <si>
    <t>einjährigen Freilandgemüse und einjährigen Beerenkulturen</t>
  </si>
  <si>
    <t>Cultures maraîchères de plein champ annuelles et cultures annuelles de petits fruits</t>
  </si>
  <si>
    <t>Arboriculture fruitière, pour les vergers au sens de l’art. 22, al. 2, Oterm, viticulture, culture de petits fruits</t>
  </si>
  <si>
    <t>Spezialkulturen ohne Tabak und ohne Wurzel der Treibzichorie</t>
  </si>
  <si>
    <t>Cultures spéciales, à l’exception du tabac et des racines de chicorées</t>
  </si>
  <si>
    <t>Obstbau für Obstanlagen nach Artikel 22 Absatz 2 LBV, Rebbau, Beerenanbau</t>
  </si>
  <si>
    <t>Obstbau für Obstanlagen nach Artikel 22 Absatz 2 LBV, Rebbau, Beerenanbau, Permakultur in Bewirtschaftung mit Hilfmitteln der biologischen Landwirtschaft</t>
  </si>
  <si>
    <t>g)</t>
  </si>
  <si>
    <t>h)</t>
  </si>
  <si>
    <t>Hauptkulturen auf offener Ackerfläche (mit Ausnahme von einjährigen Freilandgemüse, Beerenkulturen sowie Gewürz-und Medizinalpflanzen)</t>
  </si>
  <si>
    <t>Cultures annuelles de légumes de plein champ (à l’exception des légumes de conserve de plein champ), cultures annuelles de petits fruits, plantes aromatiques et médicinales sur les terres ouvertes</t>
  </si>
  <si>
    <t>Cultures principales sur terres ouvertes (à l’exception des cultures annuelles de légumes de plein champ et des cultures annuelles de petits fruits, ainsi que des plantes aromatiques et médicinales)</t>
  </si>
  <si>
    <t>einjährige Freilandgemüse (mit Ausnahme von Freiland-Konservengemüse), Beerenkulturen, Gewürz- und Medizinalpflanzen auf offener Ackerfläche</t>
  </si>
  <si>
    <t>Vigne</t>
  </si>
  <si>
    <t>f) - wenn nach deren Ernte auf dem gesamten Betrieb innerhalb von sieben Wochen eine weitere Kultur, eine Winterkultur, Zwischenkultur oder Gründüngung angelegt wird, und wenn bis zum 15. Februar des folgenden Jahres keine Bodenbearbeitung auf den Flächen erfolgt, die mit Kulturen, Zwischenkulturen und Gründüngung belegt sind</t>
  </si>
  <si>
    <t>f) - si, dans un délai de sept semaines après la récolte dans l’ensemble de l’exploitation, une autre culture, une culture d’automne, une culture intercalaire ou un engrais vert sont mis en place, et si aucun travail du sol n’est réalisé sur les surfaces où sont aménagées des cultures, cultures intercalaires et engrais verts jusqu’au 15 février de l’année suivante</t>
  </si>
  <si>
    <t>g) - wenn gesamtbetrieblich immer mindestens 70 Prozent der entsprechenden Fläche mit einer Kultur oder einer Zwischenkultur bedeckt sind</t>
  </si>
  <si>
    <t>g) - si au moins 70 % de la surface concernée dans l’ensemble de l’exploitation est couverte en tout temps par une culture ou par une culture intercalaire</t>
  </si>
  <si>
    <t>h) - wenn gesamtbetrieblich immer mindestens 70 Prozent der Rebfläche begrünt sind, und wenn Traubentrester auf die Rebfläche des Betriebs zurückgebracht und verteilt wird</t>
  </si>
  <si>
    <t>i) - Keine Beiträge werden ausgerichtet für das Anlegen von Kunstwiesen mit Mulchsaat, Zwischenkulturen, Weizen oder Triticale nach Mais</t>
  </si>
  <si>
    <t>i) - Aucune contribution n’est versée pour l’aménagement de prairies temporaires par semis sous litière, de cultures intercalaires, de cultures de blé ou de triticale après le maïs</t>
  </si>
  <si>
    <t>h) - si dans l’ensemble de l’exploitation, au moins 70 % de la surface de vignes est enherbée, et si le marc est rapporté et épandu sur les surfaces de vignes de l’exploitation</t>
  </si>
  <si>
    <t>Besonders tierfreundliche Produktionsformen</t>
  </si>
  <si>
    <t>Tiere der Rindergattung und Wasserbüffel &gt;160 Tage, weibliche und kastrierte männliche Tiere der Pferdegattung und über 900 Tage, Ziegen über 1 jährig</t>
  </si>
  <si>
    <t>Bovins et buffles d'Asie &gt;160 jours, équidés femelles et mâles castrés de plus de 900 jours, chèvres &gt; 1 an</t>
  </si>
  <si>
    <t>Bovini e bufali &gt;160 giorni, equini femmine e castrati con più di 900 giorni, caprini &gt; 1 anno</t>
  </si>
  <si>
    <t>Ressourceneffizienzbeiträge (nationale: REB, Art. 82 und Anhang 7 DZV)</t>
  </si>
  <si>
    <t>Contributions à l'efficience des ressources (nationales: CER, Art. 82 et Annexe 7 OPD)</t>
  </si>
  <si>
    <t>Contributi per l’efficienza delle risorse (nazionali: CER, Art. 82 e Allegato 7 OPD)</t>
  </si>
  <si>
    <t>2. Driftreduzierende Spritzgeräte in Dauerkulturen: pro Spritzgebläse mit horizontaler Luftstromlenkung 25 % der Anschaffungskosten, jedoch maximal Fr. 6'000.-</t>
  </si>
  <si>
    <t>2. Pulvérisateurs anti-dérive en cultures pérennes: 25% des coûts d'acquisition par pulvérisateur à jets projetés avec flux d’air horizontal orientable, jusqu'à un maximum de Fr. 6'000.-</t>
  </si>
  <si>
    <t>i), j), k)</t>
  </si>
  <si>
    <t>j) - Les conditions pour la contribution pour une couverture appropriée du sol sont respectées</t>
  </si>
  <si>
    <t>j) - Die Voraussetzungen für den Beitrag für eine angemessene Bedeckung des Bodens sind erfüllt</t>
  </si>
  <si>
    <t>k) - La surface donnant droit à la contribution représente au moins 60 % de la surface de terres ouvertes de l’exploitation</t>
  </si>
  <si>
    <t xml:space="preserve">k) - die zum Beitrag berechtigende Fläche umfasst mindestens 60 Prozent der offenen Ackerfläche des Betriebs </t>
  </si>
  <si>
    <t>vaches laitières</t>
  </si>
  <si>
    <t>autres vaches</t>
  </si>
  <si>
    <t>animaux femelles, de plus de 365 jours au premier vêlage</t>
  </si>
  <si>
    <t>animaux femelles, de plus de 160 à 365 jours</t>
  </si>
  <si>
    <t>animaux femelles, jusqu’à 160 jours</t>
  </si>
  <si>
    <t>animaux mâles, de plus de 730 jours</t>
  </si>
  <si>
    <t>animaux mâles, de plus de 365 jours à 730 jours</t>
  </si>
  <si>
    <t>animaux mâles, de plus de 160 jours à 365 jours</t>
  </si>
  <si>
    <t>animaux mâles, jusqu’à 160 jours</t>
  </si>
  <si>
    <t>andere Kühe</t>
  </si>
  <si>
    <t>männliche Tiere, bis 160 Tage alt</t>
  </si>
  <si>
    <t>Bovins et les buffles d’Asie</t>
  </si>
  <si>
    <t>Rindergattung und Wasserbüffel</t>
  </si>
  <si>
    <t>weibliche Tiere, über 365 Tage alt, bis zur ersten Abkalbung</t>
  </si>
  <si>
    <t>weibliche Tiere, über 160–365 Tage alt</t>
  </si>
  <si>
    <t>weibliche Tiere, bis 160 Tage alt</t>
  </si>
  <si>
    <t>männliche Tiere, über 730 Tage alt</t>
  </si>
  <si>
    <t>männliche Tiere, über 365–730 Tage alt</t>
  </si>
  <si>
    <t>männliche Tiere, über 160–365 Tage alt</t>
  </si>
  <si>
    <t>Nombre d'exploitations</t>
  </si>
  <si>
    <t>Stand gemäss Verordnungsänderungen im Rahmen der Parlamentarischen Initiative 19.475 vom April 2022.
AGRIDEA lehnt jede Haftung und Gewährleistung ab, die aus Berechnungen mit diesem Instrument abgeleitet werden.                             Version 4.9.3</t>
  </si>
  <si>
    <t>Etat selon modifications d'ordonnances dans le cadre de l'initiative parlementaire 19.475 d'avril 2022. 
AGRIDEA décline toute responsabilité quant aux conséquences de l’utilisation de cet outil.                                                          Version 4.9.3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</si>
</sst>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00"/>
    <numFmt numFmtId="166" formatCode="0.0%"/>
    <numFmt numFmtId="167" formatCode="#,##0.0"/>
  </numFmts>
  <fonts count="45">
    <font>
      <sz val="10"/>
      <name val="Arial"/>
    </font>
    <font>
      <sz val="11"/>
      <color indexed="8"/>
      <name val="Calibri"/>
      <family val="2"/>
    </font>
    <font>
      <sz val="9"/>
      <name val="Helvetica"/>
      <family val="2"/>
    </font>
    <font>
      <sz val="14"/>
      <name val="Helvetica"/>
      <family val="2"/>
    </font>
    <font>
      <sz val="10"/>
      <name val="Arial"/>
      <family val="2"/>
    </font>
    <font>
      <b/>
      <sz val="14"/>
      <name val="Arial"/>
      <family val="2"/>
    </font>
    <font>
      <sz val="14"/>
      <name val="Arial"/>
      <family val="2"/>
    </font>
    <font>
      <sz val="10"/>
      <name val="Arial"/>
      <family val="2"/>
    </font>
    <font>
      <b/>
      <sz val="10"/>
      <name val="Arial"/>
      <family val="2"/>
    </font>
    <font>
      <b/>
      <sz val="9"/>
      <name val="Arial"/>
      <family val="2"/>
    </font>
    <font>
      <b/>
      <sz val="12"/>
      <name val="Arial"/>
      <family val="2"/>
    </font>
    <font>
      <sz val="9"/>
      <name val="Arial"/>
      <family val="2"/>
    </font>
    <font>
      <sz val="10"/>
      <color indexed="22"/>
      <name val="Arial"/>
      <family val="2"/>
    </font>
    <font>
      <sz val="12"/>
      <name val="Arial"/>
      <family val="2"/>
    </font>
    <font>
      <sz val="8"/>
      <name val="Arial"/>
      <family val="2"/>
    </font>
    <font>
      <b/>
      <i/>
      <sz val="10"/>
      <name val="Arial"/>
      <family val="2"/>
    </font>
    <font>
      <sz val="9"/>
      <color indexed="52"/>
      <name val="Arial"/>
      <family val="2"/>
    </font>
    <font>
      <i/>
      <sz val="8"/>
      <name val="Arial"/>
      <family val="2"/>
    </font>
    <font>
      <i/>
      <sz val="10"/>
      <name val="Arial"/>
      <family val="2"/>
    </font>
    <font>
      <b/>
      <sz val="8"/>
      <name val="Arial"/>
      <family val="2"/>
    </font>
    <font>
      <sz val="11"/>
      <name val="Arial"/>
      <family val="2"/>
    </font>
    <font>
      <sz val="14"/>
      <name val="Helvetica"/>
      <family val="2"/>
    </font>
    <font>
      <sz val="9"/>
      <name val="Helvetica"/>
      <family val="2"/>
    </font>
    <font>
      <sz val="8"/>
      <name val="Arial"/>
      <family val="2"/>
    </font>
    <font>
      <b/>
      <sz val="16"/>
      <name val="Arial"/>
      <family val="2"/>
    </font>
    <font>
      <b/>
      <sz val="18"/>
      <name val="Arial"/>
      <family val="2"/>
    </font>
    <font>
      <sz val="10"/>
      <color indexed="8"/>
      <name val="Calibri"/>
      <family val="2"/>
    </font>
    <font>
      <sz val="9"/>
      <color indexed="8"/>
      <name val="Arial"/>
      <family val="2"/>
    </font>
    <font>
      <sz val="10"/>
      <name val="Calibri"/>
      <family val="2"/>
    </font>
    <font>
      <vertAlign val="superscript"/>
      <sz val="10"/>
      <name val="Arial"/>
      <family val="2"/>
    </font>
    <font>
      <sz val="10"/>
      <name val="Times New Roman"/>
      <family val="1"/>
    </font>
    <font>
      <b/>
      <sz val="10"/>
      <color indexed="10"/>
      <name val="Arial"/>
      <family val="2"/>
    </font>
    <font>
      <sz val="10"/>
      <color indexed="22"/>
      <name val="Arial"/>
      <family val="2"/>
    </font>
    <font>
      <sz val="9"/>
      <color indexed="22"/>
      <name val="Arial"/>
      <family val="2"/>
    </font>
    <font>
      <b/>
      <sz val="10"/>
      <color indexed="22"/>
      <name val="Arial"/>
      <family val="2"/>
    </font>
    <font>
      <sz val="14"/>
      <color indexed="22"/>
      <name val="Arial"/>
      <family val="2"/>
    </font>
    <font>
      <b/>
      <sz val="12"/>
      <color indexed="22"/>
      <name val="Arial"/>
      <family val="2"/>
    </font>
    <font>
      <sz val="12"/>
      <color indexed="22"/>
      <name val="Arial"/>
      <family val="2"/>
    </font>
    <font>
      <u/>
      <sz val="10"/>
      <name val="Arial"/>
      <family val="2"/>
    </font>
    <font>
      <b/>
      <sz val="15"/>
      <name val="Arial"/>
      <family val="2"/>
    </font>
    <font>
      <sz val="10"/>
      <color theme="0" tint="-0.34998626667073579"/>
      <name val="Arial"/>
      <family val="2"/>
    </font>
    <font>
      <b/>
      <sz val="10"/>
      <color theme="0" tint="-0.34998626667073579"/>
      <name val="Arial"/>
      <family val="2"/>
    </font>
    <font>
      <sz val="9"/>
      <color theme="0" tint="-0.34998626667073579"/>
      <name val="Arial"/>
      <family val="2"/>
    </font>
    <font>
      <sz val="12"/>
      <color theme="0" tint="-0.34998626667073579"/>
      <name val="Arial"/>
      <family val="2"/>
    </font>
    <font>
      <b/>
      <i/>
      <sz val="8"/>
      <name val="Arial"/>
      <family val="2"/>
    </font>
  </fonts>
  <fills count="13">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5" tint="0.59999389629810485"/>
        <bgColor indexed="64"/>
      </patternFill>
    </fill>
  </fills>
  <borders count="32">
    <border>
      <left/>
      <right/>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hair">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bottom style="mediumDashed">
        <color indexed="64"/>
      </bottom>
      <diagonal/>
    </border>
    <border>
      <left/>
      <right style="mediumDashed">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style="hair">
        <color indexed="64"/>
      </bottom>
      <diagonal/>
    </border>
  </borders>
  <cellStyleXfs count="7">
    <xf numFmtId="0" fontId="0" fillId="0" borderId="0"/>
    <xf numFmtId="0" fontId="3" fillId="0" borderId="0"/>
    <xf numFmtId="0" fontId="2" fillId="0" borderId="0">
      <protection locked="0"/>
    </xf>
    <xf numFmtId="0" fontId="21" fillId="0" borderId="0"/>
    <xf numFmtId="0" fontId="22" fillId="0" borderId="0">
      <protection locked="0"/>
    </xf>
    <xf numFmtId="43" fontId="4" fillId="0" borderId="0" applyFont="0" applyFill="0" applyBorder="0" applyAlignment="0" applyProtection="0"/>
    <xf numFmtId="9" fontId="4" fillId="0" borderId="0" applyFont="0" applyFill="0" applyBorder="0" applyAlignment="0" applyProtection="0"/>
  </cellStyleXfs>
  <cellXfs count="745">
    <xf numFmtId="0" fontId="0" fillId="0" borderId="0" xfId="0"/>
    <xf numFmtId="0" fontId="6" fillId="0" borderId="0" xfId="0" applyFont="1" applyFill="1" applyBorder="1" applyAlignment="1" applyProtection="1">
      <alignment horizontal="right"/>
    </xf>
    <xf numFmtId="0" fontId="7" fillId="0" borderId="0" xfId="0" applyNumberFormat="1" applyFont="1" applyBorder="1" applyProtection="1"/>
    <xf numFmtId="0" fontId="7" fillId="0" borderId="0" xfId="0" applyFont="1" applyBorder="1" applyProtection="1"/>
    <xf numFmtId="0" fontId="7" fillId="0" borderId="1" xfId="0" applyFont="1" applyFill="1" applyBorder="1" applyAlignment="1" applyProtection="1">
      <alignment horizontal="right"/>
    </xf>
    <xf numFmtId="0" fontId="8" fillId="0" borderId="0" xfId="0" applyNumberFormat="1" applyFont="1" applyBorder="1" applyAlignment="1" applyProtection="1">
      <alignment horizontal="right"/>
    </xf>
    <xf numFmtId="0" fontId="9" fillId="0" borderId="0" xfId="0" applyNumberFormat="1" applyFont="1" applyBorder="1" applyProtection="1"/>
    <xf numFmtId="0" fontId="7" fillId="0" borderId="0" xfId="0" applyNumberFormat="1" applyFont="1" applyBorder="1" applyAlignment="1" applyProtection="1">
      <alignment vertical="center"/>
    </xf>
    <xf numFmtId="0" fontId="9" fillId="0" borderId="2" xfId="0" applyNumberFormat="1" applyFont="1" applyBorder="1" applyProtection="1"/>
    <xf numFmtId="0" fontId="10" fillId="0" borderId="3" xfId="0" applyNumberFormat="1" applyFont="1" applyBorder="1" applyProtection="1"/>
    <xf numFmtId="0" fontId="8" fillId="0" borderId="0" xfId="0" applyNumberFormat="1" applyFont="1" applyBorder="1" applyProtection="1"/>
    <xf numFmtId="0" fontId="11" fillId="0" borderId="0" xfId="0" applyNumberFormat="1" applyFont="1" applyBorder="1" applyProtection="1"/>
    <xf numFmtId="0" fontId="8" fillId="0" borderId="3" xfId="0" applyNumberFormat="1" applyFont="1" applyBorder="1" applyProtection="1"/>
    <xf numFmtId="0" fontId="7" fillId="0" borderId="4" xfId="0" applyNumberFormat="1" applyFont="1" applyBorder="1" applyProtection="1"/>
    <xf numFmtId="0" fontId="7" fillId="0" borderId="0" xfId="0" applyNumberFormat="1" applyFont="1" applyBorder="1" applyAlignment="1" applyProtection="1">
      <alignment horizontal="center"/>
    </xf>
    <xf numFmtId="0" fontId="11" fillId="0" borderId="0" xfId="0" applyNumberFormat="1" applyFont="1" applyBorder="1" applyAlignment="1" applyProtection="1">
      <alignment vertical="center"/>
    </xf>
    <xf numFmtId="0" fontId="11" fillId="0" borderId="0" xfId="0" applyFont="1" applyBorder="1" applyProtection="1"/>
    <xf numFmtId="0" fontId="4" fillId="0" borderId="0" xfId="0" applyNumberFormat="1" applyFont="1" applyBorder="1" applyProtection="1"/>
    <xf numFmtId="0" fontId="7" fillId="0" borderId="0" xfId="0" applyNumberFormat="1" applyFont="1" applyBorder="1" applyAlignment="1" applyProtection="1">
      <alignment horizontal="right"/>
    </xf>
    <xf numFmtId="0" fontId="11" fillId="0" borderId="0" xfId="0" applyNumberFormat="1" applyFont="1" applyBorder="1" applyAlignment="1" applyProtection="1">
      <alignment horizontal="right"/>
    </xf>
    <xf numFmtId="0" fontId="11" fillId="0" borderId="3" xfId="0" applyNumberFormat="1" applyFont="1" applyBorder="1" applyProtection="1"/>
    <xf numFmtId="0" fontId="7" fillId="0" borderId="0" xfId="0" applyFont="1" applyProtection="1"/>
    <xf numFmtId="0" fontId="8" fillId="0" borderId="0" xfId="0" applyNumberFormat="1" applyFont="1" applyBorder="1" applyAlignment="1" applyProtection="1">
      <alignment horizontal="left"/>
    </xf>
    <xf numFmtId="0" fontId="4" fillId="0" borderId="0" xfId="0" applyNumberFormat="1" applyFont="1" applyBorder="1" applyAlignment="1" applyProtection="1">
      <alignment horizontal="center"/>
    </xf>
    <xf numFmtId="0" fontId="4" fillId="0" borderId="4" xfId="0" applyNumberFormat="1" applyFont="1" applyBorder="1" applyAlignment="1" applyProtection="1">
      <alignment horizontal="center"/>
    </xf>
    <xf numFmtId="3" fontId="7" fillId="0" borderId="4" xfId="0" applyNumberFormat="1" applyFont="1" applyBorder="1" applyProtection="1"/>
    <xf numFmtId="0" fontId="11" fillId="0" borderId="0" xfId="0" quotePrefix="1" applyNumberFormat="1" applyFont="1" applyBorder="1" applyProtection="1"/>
    <xf numFmtId="0" fontId="11" fillId="0" borderId="4" xfId="0" applyNumberFormat="1" applyFont="1" applyBorder="1" applyAlignment="1" applyProtection="1">
      <alignment vertical="center"/>
    </xf>
    <xf numFmtId="0" fontId="11" fillId="0" borderId="5" xfId="0" applyNumberFormat="1" applyFont="1" applyBorder="1" applyAlignment="1" applyProtection="1">
      <alignment vertical="center"/>
    </xf>
    <xf numFmtId="0" fontId="13" fillId="0" borderId="4" xfId="0" applyNumberFormat="1" applyFont="1" applyBorder="1" applyAlignment="1" applyProtection="1">
      <alignment vertical="center"/>
    </xf>
    <xf numFmtId="0" fontId="11" fillId="0" borderId="6" xfId="0" applyNumberFormat="1" applyFont="1" applyBorder="1" applyProtection="1"/>
    <xf numFmtId="0" fontId="11" fillId="0" borderId="7" xfId="0" applyNumberFormat="1" applyFont="1" applyBorder="1" applyAlignment="1" applyProtection="1">
      <alignment vertical="center"/>
    </xf>
    <xf numFmtId="0" fontId="11" fillId="0" borderId="0" xfId="0" quotePrefix="1" applyNumberFormat="1" applyFont="1" applyFill="1" applyBorder="1" applyProtection="1"/>
    <xf numFmtId="0" fontId="15" fillId="0" borderId="0" xfId="0" applyNumberFormat="1" applyFont="1" applyBorder="1" applyProtection="1"/>
    <xf numFmtId="2" fontId="14" fillId="0" borderId="0" xfId="0" applyNumberFormat="1" applyFont="1" applyFill="1" applyBorder="1" applyAlignment="1" applyProtection="1">
      <alignment horizontal="center"/>
    </xf>
    <xf numFmtId="3" fontId="7" fillId="0" borderId="0" xfId="0" applyNumberFormat="1" applyFont="1" applyBorder="1" applyProtection="1"/>
    <xf numFmtId="0" fontId="8" fillId="0" borderId="8" xfId="0" applyNumberFormat="1" applyFont="1" applyBorder="1" applyProtection="1"/>
    <xf numFmtId="0" fontId="7" fillId="0" borderId="8" xfId="0" applyNumberFormat="1" applyFont="1" applyBorder="1" applyProtection="1"/>
    <xf numFmtId="0" fontId="4" fillId="0" borderId="0" xfId="0" applyNumberFormat="1" applyFont="1" applyBorder="1" applyAlignment="1" applyProtection="1">
      <alignment horizontal="right"/>
    </xf>
    <xf numFmtId="3" fontId="4" fillId="0" borderId="9" xfId="5" applyNumberFormat="1" applyFont="1" applyBorder="1" applyAlignment="1" applyProtection="1">
      <alignment horizontal="center"/>
    </xf>
    <xf numFmtId="3" fontId="4" fillId="0" borderId="0" xfId="5" applyNumberFormat="1" applyFont="1" applyBorder="1" applyAlignment="1" applyProtection="1">
      <alignment horizontal="center"/>
    </xf>
    <xf numFmtId="0" fontId="16" fillId="0" borderId="0" xfId="0" applyFont="1" applyFill="1" applyBorder="1" applyProtection="1"/>
    <xf numFmtId="0" fontId="16" fillId="0" borderId="0" xfId="0" applyNumberFormat="1" applyFont="1" applyFill="1" applyBorder="1" applyAlignment="1" applyProtection="1">
      <alignment vertical="center"/>
    </xf>
    <xf numFmtId="0" fontId="16" fillId="0" borderId="0" xfId="0" applyNumberFormat="1" applyFont="1" applyBorder="1" applyAlignment="1" applyProtection="1">
      <alignment vertical="center"/>
    </xf>
    <xf numFmtId="0" fontId="16" fillId="0" borderId="0" xfId="0" applyFont="1" applyBorder="1" applyProtection="1"/>
    <xf numFmtId="3" fontId="4" fillId="2" borderId="9" xfId="5" applyNumberFormat="1" applyFont="1" applyFill="1" applyBorder="1" applyAlignment="1" applyProtection="1">
      <alignment horizontal="center"/>
      <protection locked="0"/>
    </xf>
    <xf numFmtId="4" fontId="4" fillId="2" borderId="9" xfId="5" applyNumberFormat="1" applyFont="1" applyFill="1" applyBorder="1" applyAlignment="1" applyProtection="1">
      <alignment horizontal="center"/>
      <protection locked="0"/>
    </xf>
    <xf numFmtId="2" fontId="4" fillId="0" borderId="0" xfId="0" applyNumberFormat="1" applyFont="1" applyFill="1" applyBorder="1" applyAlignment="1" applyProtection="1">
      <alignment horizontal="center"/>
    </xf>
    <xf numFmtId="0" fontId="4" fillId="0" borderId="0" xfId="0" applyNumberFormat="1" applyFont="1" applyBorder="1" applyAlignment="1" applyProtection="1">
      <alignment horizontal="left"/>
    </xf>
    <xf numFmtId="4" fontId="4" fillId="0" borderId="0" xfId="5" applyNumberFormat="1" applyFont="1" applyBorder="1" applyAlignment="1" applyProtection="1">
      <alignment horizontal="center"/>
    </xf>
    <xf numFmtId="3" fontId="4" fillId="0" borderId="0" xfId="0" applyNumberFormat="1" applyFont="1" applyFill="1" applyBorder="1" applyAlignment="1" applyProtection="1">
      <alignment horizontal="center"/>
    </xf>
    <xf numFmtId="2" fontId="4" fillId="0" borderId="0" xfId="0" quotePrefix="1" applyNumberFormat="1" applyFont="1" applyFill="1" applyBorder="1" applyAlignment="1" applyProtection="1">
      <alignment horizontal="center"/>
    </xf>
    <xf numFmtId="3" fontId="4" fillId="0" borderId="7" xfId="0" applyNumberFormat="1" applyFont="1" applyBorder="1" applyProtection="1"/>
    <xf numFmtId="0" fontId="5" fillId="0" borderId="0" xfId="0" applyNumberFormat="1" applyFont="1" applyBorder="1" applyProtection="1"/>
    <xf numFmtId="0" fontId="4" fillId="0" borderId="0" xfId="0" applyFont="1" applyBorder="1" applyProtection="1"/>
    <xf numFmtId="0" fontId="4" fillId="0" borderId="0" xfId="0" applyNumberFormat="1" applyFont="1" applyFill="1" applyBorder="1" applyProtection="1"/>
    <xf numFmtId="0" fontId="4" fillId="0" borderId="0" xfId="0" applyNumberFormat="1" applyFont="1" applyFill="1" applyBorder="1" applyAlignment="1" applyProtection="1">
      <alignment horizontal="center"/>
    </xf>
    <xf numFmtId="3" fontId="4" fillId="0" borderId="4" xfId="0" applyNumberFormat="1" applyFont="1" applyFill="1" applyBorder="1" applyProtection="1"/>
    <xf numFmtId="0" fontId="4" fillId="0" borderId="0" xfId="0" quotePrefix="1" applyNumberFormat="1" applyFont="1" applyBorder="1" applyAlignment="1" applyProtection="1">
      <alignment horizontal="center"/>
    </xf>
    <xf numFmtId="0" fontId="4" fillId="0" borderId="1" xfId="0" applyFont="1" applyFill="1" applyBorder="1" applyAlignment="1" applyProtection="1">
      <alignment horizontal="right"/>
    </xf>
    <xf numFmtId="0" fontId="4" fillId="0" borderId="1" xfId="0" applyNumberFormat="1" applyFont="1" applyBorder="1" applyProtection="1"/>
    <xf numFmtId="0" fontId="4" fillId="0" borderId="10" xfId="0" applyNumberFormat="1" applyFont="1" applyBorder="1" applyProtection="1"/>
    <xf numFmtId="0" fontId="8" fillId="0" borderId="0" xfId="0" applyNumberFormat="1" applyFont="1" applyBorder="1" applyAlignment="1" applyProtection="1">
      <alignment horizontal="center"/>
    </xf>
    <xf numFmtId="0" fontId="5" fillId="0" borderId="0" xfId="0" applyFont="1" applyBorder="1" applyProtection="1"/>
    <xf numFmtId="0" fontId="8" fillId="0" borderId="2" xfId="0" applyNumberFormat="1" applyFont="1" applyBorder="1" applyAlignment="1" applyProtection="1">
      <alignment horizontal="left"/>
    </xf>
    <xf numFmtId="0" fontId="4" fillId="0" borderId="10" xfId="0" applyFont="1" applyBorder="1" applyProtection="1"/>
    <xf numFmtId="0" fontId="11" fillId="0" borderId="10" xfId="0" applyFont="1" applyBorder="1" applyAlignment="1" applyProtection="1">
      <alignment horizontal="center"/>
    </xf>
    <xf numFmtId="0" fontId="9" fillId="0" borderId="10" xfId="0" applyNumberFormat="1" applyFont="1" applyBorder="1" applyAlignment="1" applyProtection="1">
      <alignment horizontal="right"/>
    </xf>
    <xf numFmtId="0" fontId="11" fillId="0" borderId="10" xfId="0" applyNumberFormat="1" applyFont="1" applyBorder="1" applyAlignment="1" applyProtection="1">
      <alignment horizontal="center"/>
    </xf>
    <xf numFmtId="0" fontId="4" fillId="0" borderId="5" xfId="0" applyNumberFormat="1" applyFont="1" applyBorder="1" applyProtection="1"/>
    <xf numFmtId="0" fontId="8" fillId="0" borderId="3" xfId="0" applyNumberFormat="1" applyFont="1" applyBorder="1" applyAlignment="1" applyProtection="1">
      <alignment horizontal="left"/>
    </xf>
    <xf numFmtId="0" fontId="4" fillId="0" borderId="0" xfId="0" applyFont="1" applyBorder="1" applyAlignment="1" applyProtection="1">
      <alignment horizontal="center"/>
    </xf>
    <xf numFmtId="0" fontId="4" fillId="0" borderId="4" xfId="0" applyNumberFormat="1" applyFont="1" applyBorder="1" applyProtection="1"/>
    <xf numFmtId="0" fontId="4" fillId="0" borderId="3" xfId="0" applyNumberFormat="1" applyFont="1" applyBorder="1" applyProtection="1"/>
    <xf numFmtId="0" fontId="4" fillId="0" borderId="11" xfId="0" applyNumberFormat="1" applyFont="1" applyBorder="1" applyProtection="1"/>
    <xf numFmtId="0" fontId="4" fillId="0" borderId="6" xfId="0" applyNumberFormat="1" applyFont="1" applyBorder="1" applyProtection="1"/>
    <xf numFmtId="0" fontId="4" fillId="0" borderId="6" xfId="0" applyNumberFormat="1" applyFont="1" applyBorder="1" applyAlignment="1" applyProtection="1">
      <alignment horizontal="center"/>
    </xf>
    <xf numFmtId="2" fontId="4" fillId="0" borderId="12" xfId="0" applyNumberFormat="1" applyFont="1" applyBorder="1" applyProtection="1"/>
    <xf numFmtId="0" fontId="4" fillId="0" borderId="7" xfId="0" applyNumberFormat="1" applyFont="1" applyBorder="1" applyProtection="1"/>
    <xf numFmtId="0" fontId="5" fillId="0" borderId="6" xfId="0" applyNumberFormat="1" applyFont="1" applyBorder="1" applyProtection="1"/>
    <xf numFmtId="0" fontId="4" fillId="0" borderId="6" xfId="0" applyNumberFormat="1" applyFont="1" applyFill="1" applyBorder="1" applyProtection="1"/>
    <xf numFmtId="0" fontId="4" fillId="0" borderId="6" xfId="0" applyNumberFormat="1" applyFont="1" applyFill="1" applyBorder="1" applyAlignment="1" applyProtection="1">
      <alignment horizontal="center"/>
    </xf>
    <xf numFmtId="3" fontId="4" fillId="0" borderId="6" xfId="0" applyNumberFormat="1" applyFont="1" applyFill="1" applyBorder="1" applyAlignment="1" applyProtection="1">
      <alignment horizontal="center"/>
    </xf>
    <xf numFmtId="0" fontId="11" fillId="0" borderId="6" xfId="0" applyNumberFormat="1" applyFont="1" applyFill="1" applyBorder="1" applyAlignment="1" applyProtection="1">
      <alignment vertical="center"/>
    </xf>
    <xf numFmtId="0" fontId="17" fillId="0" borderId="0" xfId="0" applyNumberFormat="1" applyFont="1" applyFill="1" applyBorder="1" applyAlignment="1" applyProtection="1">
      <alignment horizontal="left"/>
    </xf>
    <xf numFmtId="0" fontId="17" fillId="0" borderId="0" xfId="0" applyNumberFormat="1" applyFont="1" applyFill="1" applyBorder="1" applyAlignment="1" applyProtection="1">
      <alignment horizontal="center"/>
    </xf>
    <xf numFmtId="1" fontId="4" fillId="0" borderId="0" xfId="0" applyNumberFormat="1" applyFont="1" applyFill="1" applyBorder="1" applyProtection="1"/>
    <xf numFmtId="3" fontId="18" fillId="0" borderId="0" xfId="0" applyNumberFormat="1" applyFont="1" applyFill="1" applyBorder="1" applyAlignment="1" applyProtection="1">
      <alignment horizontal="center"/>
    </xf>
    <xf numFmtId="3" fontId="4" fillId="0" borderId="0" xfId="5" applyNumberFormat="1" applyFont="1" applyFill="1" applyBorder="1" applyAlignment="1" applyProtection="1">
      <alignment horizontal="center"/>
    </xf>
    <xf numFmtId="3" fontId="4" fillId="0" borderId="0" xfId="0" applyNumberFormat="1" applyFont="1" applyFill="1" applyBorder="1" applyAlignment="1" applyProtection="1">
      <alignment horizontal="right"/>
    </xf>
    <xf numFmtId="0" fontId="4" fillId="0" borderId="0" xfId="0" quotePrefix="1" applyNumberFormat="1" applyFont="1" applyFill="1" applyBorder="1" applyProtection="1"/>
    <xf numFmtId="3" fontId="4" fillId="0" borderId="9" xfId="0" applyNumberFormat="1" applyFont="1" applyFill="1" applyBorder="1" applyProtection="1"/>
    <xf numFmtId="0" fontId="8" fillId="0" borderId="0" xfId="0" applyNumberFormat="1" applyFont="1" applyFill="1" applyBorder="1" applyProtection="1"/>
    <xf numFmtId="0" fontId="4" fillId="0" borderId="0" xfId="0" applyNumberFormat="1" applyFont="1" applyFill="1" applyBorder="1" applyAlignment="1" applyProtection="1">
      <alignment horizontal="right"/>
    </xf>
    <xf numFmtId="3" fontId="4" fillId="0" borderId="9" xfId="0" applyNumberFormat="1" applyFont="1" applyFill="1" applyBorder="1" applyAlignment="1" applyProtection="1">
      <alignment horizontal="center"/>
    </xf>
    <xf numFmtId="4" fontId="4" fillId="0" borderId="0" xfId="5" applyNumberFormat="1" applyFont="1" applyFill="1" applyBorder="1" applyAlignment="1" applyProtection="1">
      <alignment horizontal="center"/>
    </xf>
    <xf numFmtId="3" fontId="4" fillId="0" borderId="9" xfId="0" applyNumberFormat="1" applyFont="1" applyFill="1" applyBorder="1" applyAlignment="1" applyProtection="1">
      <alignment horizontal="right"/>
    </xf>
    <xf numFmtId="3" fontId="4" fillId="0" borderId="13" xfId="0" applyNumberFormat="1" applyFont="1" applyFill="1" applyBorder="1" applyAlignment="1" applyProtection="1">
      <alignment horizontal="right"/>
    </xf>
    <xf numFmtId="0" fontId="10"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xf>
    <xf numFmtId="0" fontId="19" fillId="0" borderId="6" xfId="0" applyNumberFormat="1" applyFont="1" applyFill="1" applyBorder="1" applyProtection="1"/>
    <xf numFmtId="1" fontId="4" fillId="0" borderId="6" xfId="0" applyNumberFormat="1" applyFont="1" applyFill="1" applyBorder="1" applyProtection="1"/>
    <xf numFmtId="3" fontId="4" fillId="0" borderId="6" xfId="5" applyNumberFormat="1" applyFont="1" applyFill="1" applyBorder="1" applyAlignment="1" applyProtection="1">
      <alignment horizontal="center"/>
    </xf>
    <xf numFmtId="0" fontId="11" fillId="0" borderId="0" xfId="0" applyNumberFormat="1" applyFont="1" applyFill="1" applyBorder="1" applyProtection="1"/>
    <xf numFmtId="0" fontId="11" fillId="0" borderId="0" xfId="0" applyNumberFormat="1" applyFont="1" applyFill="1" applyBorder="1" applyAlignment="1" applyProtection="1">
      <alignment vertical="center"/>
    </xf>
    <xf numFmtId="3" fontId="11" fillId="0" borderId="0" xfId="5" applyNumberFormat="1" applyFont="1" applyFill="1" applyBorder="1" applyAlignment="1" applyProtection="1">
      <alignment horizontal="center"/>
    </xf>
    <xf numFmtId="0" fontId="11" fillId="0" borderId="0" xfId="0" applyFont="1" applyFill="1" applyBorder="1" applyAlignment="1" applyProtection="1">
      <alignment horizontal="center"/>
    </xf>
    <xf numFmtId="3" fontId="11" fillId="0" borderId="0" xfId="0" applyNumberFormat="1" applyFont="1" applyFill="1" applyBorder="1" applyAlignment="1" applyProtection="1">
      <alignment horizontal="right"/>
    </xf>
    <xf numFmtId="0" fontId="13" fillId="0" borderId="0" xfId="0" applyNumberFormat="1" applyFont="1" applyFill="1" applyBorder="1" applyAlignment="1" applyProtection="1">
      <alignment vertical="center"/>
    </xf>
    <xf numFmtId="0" fontId="4" fillId="0" borderId="10" xfId="0" applyNumberFormat="1" applyFont="1" applyBorder="1" applyAlignment="1" applyProtection="1">
      <alignment horizontal="center"/>
    </xf>
    <xf numFmtId="0" fontId="13" fillId="0" borderId="0" xfId="0" applyNumberFormat="1" applyFont="1" applyBorder="1" applyAlignment="1" applyProtection="1">
      <alignment horizontal="center"/>
    </xf>
    <xf numFmtId="0" fontId="4" fillId="0" borderId="7" xfId="0" applyNumberFormat="1" applyFont="1" applyBorder="1" applyAlignment="1" applyProtection="1">
      <alignment horizontal="center"/>
    </xf>
    <xf numFmtId="0" fontId="4" fillId="0" borderId="0" xfId="0" applyFont="1" applyFill="1" applyBorder="1" applyProtection="1"/>
    <xf numFmtId="2" fontId="4" fillId="0" borderId="0" xfId="0" applyNumberFormat="1" applyFont="1" applyBorder="1" applyAlignment="1" applyProtection="1">
      <alignment horizontal="right"/>
    </xf>
    <xf numFmtId="2" fontId="4" fillId="0" borderId="0" xfId="0" applyNumberFormat="1" applyFont="1" applyBorder="1" applyAlignment="1" applyProtection="1">
      <alignment horizontal="center"/>
    </xf>
    <xf numFmtId="3" fontId="4" fillId="0" borderId="0" xfId="0" applyNumberFormat="1" applyFont="1" applyBorder="1" applyAlignment="1" applyProtection="1">
      <alignment horizontal="center"/>
    </xf>
    <xf numFmtId="3" fontId="4" fillId="0" borderId="4" xfId="0" applyNumberFormat="1" applyFont="1" applyBorder="1" applyProtection="1"/>
    <xf numFmtId="3" fontId="4" fillId="0" borderId="0" xfId="0" applyNumberFormat="1" applyFont="1" applyBorder="1" applyProtection="1"/>
    <xf numFmtId="0" fontId="9" fillId="0" borderId="3" xfId="0" applyNumberFormat="1" applyFont="1" applyBorder="1" applyProtection="1"/>
    <xf numFmtId="2" fontId="4" fillId="0" borderId="9" xfId="0" applyNumberFormat="1" applyFont="1" applyBorder="1" applyAlignment="1" applyProtection="1">
      <alignment horizontal="center"/>
    </xf>
    <xf numFmtId="0" fontId="0" fillId="0" borderId="0" xfId="0" applyAlignment="1">
      <alignment wrapText="1"/>
    </xf>
    <xf numFmtId="3" fontId="7" fillId="0" borderId="13" xfId="0" applyNumberFormat="1" applyFont="1" applyBorder="1" applyProtection="1"/>
    <xf numFmtId="0" fontId="11" fillId="0" borderId="10" xfId="0" applyNumberFormat="1" applyFont="1" applyBorder="1" applyProtection="1"/>
    <xf numFmtId="0" fontId="11" fillId="0" borderId="11" xfId="0" applyNumberFormat="1" applyFont="1" applyBorder="1" applyProtection="1"/>
    <xf numFmtId="0" fontId="5" fillId="0" borderId="2" xfId="0" applyNumberFormat="1" applyFont="1" applyBorder="1" applyProtection="1"/>
    <xf numFmtId="3" fontId="4" fillId="0" borderId="14" xfId="0" applyNumberFormat="1" applyFont="1" applyBorder="1" applyAlignment="1" applyProtection="1">
      <alignment horizontal="right"/>
    </xf>
    <xf numFmtId="0" fontId="4" fillId="0" borderId="8" xfId="0" applyNumberFormat="1" applyFont="1" applyBorder="1" applyProtection="1"/>
    <xf numFmtId="0" fontId="10" fillId="0" borderId="0" xfId="0" applyNumberFormat="1" applyFont="1" applyBorder="1" applyProtection="1"/>
    <xf numFmtId="0" fontId="24" fillId="0" borderId="0" xfId="0" applyNumberFormat="1" applyFont="1" applyBorder="1" applyProtection="1"/>
    <xf numFmtId="0" fontId="10" fillId="0" borderId="2" xfId="0" applyNumberFormat="1" applyFont="1" applyBorder="1" applyProtection="1"/>
    <xf numFmtId="3" fontId="4" fillId="0" borderId="5" xfId="0" applyNumberFormat="1" applyFont="1" applyBorder="1" applyProtection="1"/>
    <xf numFmtId="0" fontId="4" fillId="0" borderId="9" xfId="0" applyNumberFormat="1" applyFont="1" applyBorder="1" applyAlignment="1" applyProtection="1">
      <alignment horizontal="center"/>
    </xf>
    <xf numFmtId="2" fontId="4" fillId="0" borderId="0" xfId="6" applyNumberFormat="1" applyFont="1" applyFill="1" applyBorder="1" applyAlignment="1" applyProtection="1">
      <alignment horizontal="center"/>
    </xf>
    <xf numFmtId="2" fontId="4" fillId="0" borderId="0" xfId="0" applyNumberFormat="1" applyFont="1" applyBorder="1" applyProtection="1"/>
    <xf numFmtId="0" fontId="4" fillId="0" borderId="3" xfId="0" applyNumberFormat="1" applyFont="1" applyBorder="1" applyAlignment="1" applyProtection="1">
      <alignment horizontal="right"/>
    </xf>
    <xf numFmtId="0" fontId="10" fillId="0" borderId="3" xfId="0" applyNumberFormat="1" applyFont="1" applyFill="1" applyBorder="1" applyProtection="1"/>
    <xf numFmtId="0" fontId="11" fillId="0" borderId="0" xfId="0" applyFont="1" applyFill="1" applyBorder="1" applyProtection="1"/>
    <xf numFmtId="3" fontId="4" fillId="0" borderId="4" xfId="0" applyNumberFormat="1" applyFont="1" applyFill="1" applyBorder="1" applyAlignment="1" applyProtection="1">
      <alignment horizontal="center"/>
    </xf>
    <xf numFmtId="2" fontId="4" fillId="2" borderId="9" xfId="0" applyNumberFormat="1" applyFont="1" applyFill="1" applyBorder="1" applyAlignment="1" applyProtection="1">
      <alignment horizontal="center"/>
      <protection locked="0"/>
    </xf>
    <xf numFmtId="3" fontId="4" fillId="0" borderId="4" xfId="0" applyNumberFormat="1" applyFont="1" applyBorder="1" applyAlignment="1" applyProtection="1">
      <alignment horizontal="center"/>
    </xf>
    <xf numFmtId="0" fontId="11" fillId="0" borderId="0" xfId="0" applyNumberFormat="1" applyFont="1" applyBorder="1" applyAlignment="1" applyProtection="1">
      <alignment horizontal="center" wrapText="1"/>
    </xf>
    <xf numFmtId="0" fontId="11" fillId="0" borderId="0" xfId="0" applyNumberFormat="1" applyFont="1" applyBorder="1" applyAlignment="1" applyProtection="1">
      <alignment horizontal="center"/>
    </xf>
    <xf numFmtId="0" fontId="4" fillId="0" borderId="0" xfId="0" applyNumberFormat="1" applyFont="1" applyBorder="1" applyAlignment="1" applyProtection="1">
      <alignment vertical="center"/>
    </xf>
    <xf numFmtId="3" fontId="4" fillId="0" borderId="4" xfId="0" applyNumberFormat="1" applyFont="1" applyFill="1" applyBorder="1" applyAlignment="1" applyProtection="1">
      <alignment horizontal="right"/>
    </xf>
    <xf numFmtId="0" fontId="24" fillId="0" borderId="3" xfId="0" applyNumberFormat="1" applyFont="1" applyBorder="1" applyProtection="1"/>
    <xf numFmtId="0" fontId="4" fillId="0" borderId="10" xfId="0" applyNumberFormat="1" applyFont="1" applyBorder="1" applyAlignment="1" applyProtection="1">
      <alignment horizontal="right"/>
    </xf>
    <xf numFmtId="0" fontId="4" fillId="0" borderId="5" xfId="0" applyNumberFormat="1" applyFont="1" applyBorder="1" applyAlignment="1" applyProtection="1">
      <alignment horizontal="center"/>
    </xf>
    <xf numFmtId="3" fontId="4" fillId="0" borderId="9" xfId="0" applyNumberFormat="1" applyFont="1" applyBorder="1" applyAlignment="1" applyProtection="1">
      <alignment horizontal="center"/>
    </xf>
    <xf numFmtId="3" fontId="4" fillId="0" borderId="7" xfId="0" applyNumberFormat="1" applyFont="1" applyBorder="1" applyAlignment="1" applyProtection="1">
      <alignment horizontal="center"/>
    </xf>
    <xf numFmtId="3" fontId="4" fillId="0" borderId="0" xfId="0" applyNumberFormat="1" applyFont="1" applyFill="1" applyBorder="1" applyAlignment="1" applyProtection="1">
      <alignment horizontal="left"/>
    </xf>
    <xf numFmtId="2" fontId="11" fillId="0" borderId="0" xfId="0" applyNumberFormat="1" applyFont="1" applyFill="1" applyBorder="1" applyAlignment="1" applyProtection="1">
      <alignment horizontal="center"/>
    </xf>
    <xf numFmtId="2" fontId="11" fillId="0" borderId="0" xfId="0" applyNumberFormat="1" applyFont="1" applyFill="1" applyBorder="1" applyAlignment="1" applyProtection="1">
      <alignment horizontal="right"/>
    </xf>
    <xf numFmtId="3" fontId="11" fillId="0" borderId="0" xfId="0" applyNumberFormat="1" applyFont="1" applyFill="1" applyBorder="1" applyAlignment="1" applyProtection="1">
      <alignment horizontal="center"/>
    </xf>
    <xf numFmtId="2" fontId="4" fillId="3" borderId="0" xfId="0" applyNumberFormat="1" applyFont="1" applyFill="1" applyBorder="1" applyAlignment="1" applyProtection="1">
      <alignment horizontal="center"/>
    </xf>
    <xf numFmtId="2" fontId="4" fillId="3" borderId="4" xfId="0" applyNumberFormat="1" applyFont="1" applyFill="1" applyBorder="1" applyAlignment="1" applyProtection="1">
      <alignment horizontal="center"/>
    </xf>
    <xf numFmtId="0" fontId="4" fillId="0" borderId="11" xfId="0" applyNumberFormat="1" applyFont="1" applyBorder="1" applyAlignment="1" applyProtection="1">
      <alignment horizontal="right"/>
    </xf>
    <xf numFmtId="2" fontId="4" fillId="0" borderId="6" xfId="0" applyNumberFormat="1" applyFont="1" applyBorder="1" applyAlignment="1" applyProtection="1">
      <alignment horizontal="right"/>
    </xf>
    <xf numFmtId="2" fontId="4" fillId="0" borderId="6" xfId="0" quotePrefix="1" applyNumberFormat="1" applyFont="1" applyFill="1" applyBorder="1" applyAlignment="1" applyProtection="1">
      <alignment horizontal="center"/>
    </xf>
    <xf numFmtId="2" fontId="4" fillId="0" borderId="6" xfId="0" applyNumberFormat="1" applyFont="1" applyFill="1" applyBorder="1" applyAlignment="1" applyProtection="1">
      <alignment horizontal="center"/>
    </xf>
    <xf numFmtId="2" fontId="4" fillId="0" borderId="6" xfId="0" applyNumberFormat="1" applyFont="1" applyBorder="1" applyAlignment="1" applyProtection="1">
      <alignment horizontal="center"/>
    </xf>
    <xf numFmtId="3" fontId="4" fillId="0" borderId="6" xfId="0" applyNumberFormat="1" applyFont="1" applyBorder="1" applyAlignment="1" applyProtection="1">
      <alignment horizontal="center"/>
    </xf>
    <xf numFmtId="0" fontId="8" fillId="0" borderId="0" xfId="0" applyNumberFormat="1" applyFont="1" applyBorder="1" applyAlignment="1" applyProtection="1">
      <alignment horizontal="right" vertical="center"/>
    </xf>
    <xf numFmtId="0" fontId="6" fillId="0" borderId="3" xfId="0" applyNumberFormat="1" applyFont="1" applyBorder="1" applyProtection="1"/>
    <xf numFmtId="0" fontId="6" fillId="0" borderId="3" xfId="0" applyNumberFormat="1" applyFont="1" applyBorder="1" applyAlignment="1" applyProtection="1">
      <alignment horizontal="right"/>
    </xf>
    <xf numFmtId="0" fontId="7" fillId="2" borderId="9" xfId="0" applyNumberFormat="1" applyFont="1" applyFill="1" applyBorder="1" applyAlignment="1" applyProtection="1">
      <alignment horizontal="right"/>
      <protection locked="0"/>
    </xf>
    <xf numFmtId="2" fontId="4" fillId="2" borderId="9" xfId="6" applyNumberFormat="1" applyFont="1" applyFill="1" applyBorder="1" applyAlignment="1" applyProtection="1">
      <alignment horizontal="center"/>
      <protection locked="0"/>
    </xf>
    <xf numFmtId="1" fontId="4" fillId="2" borderId="9" xfId="0" applyNumberFormat="1" applyFont="1" applyFill="1" applyBorder="1" applyAlignment="1" applyProtection="1">
      <alignment horizontal="center"/>
      <protection locked="0"/>
    </xf>
    <xf numFmtId="3" fontId="4" fillId="2" borderId="9" xfId="0" applyNumberFormat="1" applyFont="1" applyFill="1" applyBorder="1" applyProtection="1">
      <protection locked="0"/>
    </xf>
    <xf numFmtId="0" fontId="4" fillId="0" borderId="9" xfId="0" applyNumberFormat="1" applyFont="1" applyFill="1" applyBorder="1" applyProtection="1"/>
    <xf numFmtId="0" fontId="7" fillId="0" borderId="9" xfId="0" applyNumberFormat="1" applyFont="1" applyFill="1" applyBorder="1" applyProtection="1"/>
    <xf numFmtId="0" fontId="7" fillId="0" borderId="9" xfId="0" applyNumberFormat="1" applyFont="1" applyFill="1" applyBorder="1" applyAlignment="1" applyProtection="1">
      <alignment horizontal="left"/>
    </xf>
    <xf numFmtId="0" fontId="7" fillId="0" borderId="9" xfId="0" applyFont="1" applyFill="1" applyBorder="1" applyProtection="1"/>
    <xf numFmtId="0" fontId="8" fillId="0" borderId="0" xfId="0" applyNumberFormat="1" applyFont="1" applyFill="1" applyBorder="1" applyAlignment="1" applyProtection="1">
      <alignment horizontal="right"/>
    </xf>
    <xf numFmtId="0" fontId="7" fillId="0" borderId="9" xfId="0" applyNumberFormat="1" applyFont="1" applyFill="1" applyBorder="1" applyAlignment="1" applyProtection="1">
      <alignment horizontal="right"/>
    </xf>
    <xf numFmtId="0" fontId="4" fillId="0" borderId="10" xfId="0" applyNumberFormat="1" applyFont="1" applyFill="1" applyBorder="1" applyProtection="1"/>
    <xf numFmtId="0" fontId="8" fillId="0" borderId="0" xfId="0" applyNumberFormat="1" applyFont="1" applyFill="1" applyBorder="1" applyAlignment="1" applyProtection="1">
      <alignment horizontal="left"/>
    </xf>
    <xf numFmtId="0" fontId="7" fillId="0" borderId="0" xfId="0" applyFont="1" applyFill="1" applyBorder="1" applyProtection="1"/>
    <xf numFmtId="0" fontId="8" fillId="0" borderId="8" xfId="0" applyNumberFormat="1" applyFont="1" applyFill="1" applyBorder="1" applyProtection="1"/>
    <xf numFmtId="0" fontId="7" fillId="0" borderId="8" xfId="0" applyNumberFormat="1" applyFont="1" applyFill="1" applyBorder="1" applyProtection="1"/>
    <xf numFmtId="0" fontId="7" fillId="0" borderId="0" xfId="0" applyNumberFormat="1" applyFont="1" applyFill="1" applyBorder="1" applyProtection="1"/>
    <xf numFmtId="0" fontId="0" fillId="0" borderId="0" xfId="0" applyFill="1" applyProtection="1"/>
    <xf numFmtId="0" fontId="0" fillId="0" borderId="0" xfId="0" applyBorder="1" applyProtection="1"/>
    <xf numFmtId="0" fontId="24" fillId="0" borderId="0" xfId="0" applyFont="1" applyBorder="1" applyProtection="1"/>
    <xf numFmtId="0" fontId="0" fillId="0" borderId="0" xfId="0" applyProtection="1"/>
    <xf numFmtId="0" fontId="7" fillId="0" borderId="1" xfId="0" applyFont="1" applyBorder="1" applyProtection="1"/>
    <xf numFmtId="0" fontId="11" fillId="0" borderId="0" xfId="0" applyFont="1" applyProtection="1"/>
    <xf numFmtId="1" fontId="4" fillId="0" borderId="4" xfId="0" applyNumberFormat="1" applyFont="1" applyFill="1" applyBorder="1" applyAlignment="1" applyProtection="1">
      <alignment horizontal="right"/>
    </xf>
    <xf numFmtId="0" fontId="16" fillId="0" borderId="0" xfId="0" applyFont="1" applyFill="1" applyProtection="1"/>
    <xf numFmtId="0" fontId="16" fillId="0" borderId="0" xfId="0" applyFont="1" applyProtection="1"/>
    <xf numFmtId="3" fontId="11" fillId="0" borderId="4" xfId="0" applyNumberFormat="1" applyFont="1" applyFill="1" applyBorder="1" applyAlignment="1" applyProtection="1">
      <alignment horizontal="center"/>
    </xf>
    <xf numFmtId="3" fontId="8" fillId="0" borderId="12" xfId="0" applyNumberFormat="1" applyFont="1" applyBorder="1" applyProtection="1"/>
    <xf numFmtId="0" fontId="4" fillId="0" borderId="11" xfId="0" applyFont="1" applyBorder="1" applyProtection="1"/>
    <xf numFmtId="0" fontId="4" fillId="0" borderId="6" xfId="0" applyFont="1" applyBorder="1" applyProtection="1"/>
    <xf numFmtId="0" fontId="4" fillId="0" borderId="7" xfId="0" applyFont="1" applyBorder="1" applyProtection="1"/>
    <xf numFmtId="0" fontId="11" fillId="3" borderId="0" xfId="0" applyNumberFormat="1" applyFont="1" applyFill="1" applyBorder="1" applyProtection="1"/>
    <xf numFmtId="0" fontId="4" fillId="0" borderId="4" xfId="0" applyFont="1" applyBorder="1" applyProtection="1"/>
    <xf numFmtId="0" fontId="4" fillId="0" borderId="0" xfId="0" applyFont="1" applyProtection="1"/>
    <xf numFmtId="0" fontId="4" fillId="0" borderId="10" xfId="0" applyFont="1" applyBorder="1" applyAlignment="1" applyProtection="1">
      <alignment horizontal="center"/>
    </xf>
    <xf numFmtId="0" fontId="4" fillId="0" borderId="5" xfId="0" applyFont="1" applyBorder="1" applyProtection="1"/>
    <xf numFmtId="3" fontId="4" fillId="0" borderId="9" xfId="5" applyNumberFormat="1" applyFont="1" applyFill="1" applyBorder="1" applyAlignment="1" applyProtection="1">
      <alignment horizontal="center"/>
    </xf>
    <xf numFmtId="2" fontId="4" fillId="0" borderId="6" xfId="0" applyNumberFormat="1" applyFont="1" applyBorder="1" applyProtection="1"/>
    <xf numFmtId="0" fontId="4" fillId="0" borderId="6" xfId="0" applyFont="1" applyFill="1" applyBorder="1" applyProtection="1"/>
    <xf numFmtId="0" fontId="4" fillId="0" borderId="2" xfId="0" applyFont="1" applyBorder="1" applyProtection="1"/>
    <xf numFmtId="0" fontId="11" fillId="0" borderId="0" xfId="0" applyFont="1" applyBorder="1" applyAlignment="1" applyProtection="1">
      <alignment horizontal="center"/>
    </xf>
    <xf numFmtId="0" fontId="12" fillId="0" borderId="0" xfId="0" applyFont="1" applyBorder="1" applyProtection="1"/>
    <xf numFmtId="0" fontId="4" fillId="0" borderId="0" xfId="0" quotePrefix="1" applyFont="1" applyBorder="1" applyProtection="1"/>
    <xf numFmtId="0" fontId="5" fillId="0" borderId="0" xfId="0" applyFont="1" applyProtection="1"/>
    <xf numFmtId="0" fontId="4" fillId="0" borderId="0" xfId="0" applyFont="1" applyAlignment="1" applyProtection="1">
      <alignment horizontal="center"/>
    </xf>
    <xf numFmtId="0" fontId="11" fillId="0" borderId="3" xfId="0" applyFont="1" applyBorder="1" applyProtection="1"/>
    <xf numFmtId="3" fontId="8" fillId="0" borderId="4" xfId="0" applyNumberFormat="1" applyFont="1" applyBorder="1" applyAlignment="1" applyProtection="1">
      <alignment horizontal="right"/>
    </xf>
    <xf numFmtId="3" fontId="4" fillId="0" borderId="7" xfId="0" applyNumberFormat="1" applyFont="1" applyBorder="1" applyAlignment="1" applyProtection="1">
      <alignment horizontal="right"/>
    </xf>
    <xf numFmtId="0" fontId="0" fillId="0" borderId="10" xfId="0" applyBorder="1" applyProtection="1"/>
    <xf numFmtId="0" fontId="0" fillId="0" borderId="4" xfId="0" applyBorder="1" applyProtection="1"/>
    <xf numFmtId="0" fontId="0" fillId="0" borderId="6" xfId="0" applyBorder="1" applyProtection="1"/>
    <xf numFmtId="0" fontId="0" fillId="0" borderId="7" xfId="0" applyBorder="1" applyProtection="1"/>
    <xf numFmtId="0" fontId="0" fillId="0" borderId="0" xfId="0" applyBorder="1" applyAlignment="1" applyProtection="1">
      <alignment horizontal="center"/>
    </xf>
    <xf numFmtId="0" fontId="4" fillId="0" borderId="1" xfId="0" applyFont="1" applyBorder="1" applyProtection="1"/>
    <xf numFmtId="0" fontId="4" fillId="0" borderId="1" xfId="0" applyFont="1" applyBorder="1" applyAlignment="1" applyProtection="1">
      <alignment horizontal="center"/>
    </xf>
    <xf numFmtId="0" fontId="0" fillId="0" borderId="6" xfId="0" applyFill="1" applyBorder="1" applyProtection="1"/>
    <xf numFmtId="0" fontId="11" fillId="0" borderId="0" xfId="0" applyFont="1" applyFill="1" applyProtection="1"/>
    <xf numFmtId="0" fontId="8" fillId="0" borderId="0" xfId="0" applyFont="1" applyFill="1" applyBorder="1" applyProtection="1"/>
    <xf numFmtId="0" fontId="4" fillId="0" borderId="0" xfId="0" applyFont="1" applyFill="1" applyProtection="1"/>
    <xf numFmtId="0" fontId="18" fillId="0" borderId="0" xfId="0" applyFont="1" applyFill="1" applyBorder="1" applyAlignment="1" applyProtection="1">
      <alignment horizontal="center"/>
    </xf>
    <xf numFmtId="0" fontId="4" fillId="0" borderId="4" xfId="0" applyFont="1" applyFill="1" applyBorder="1" applyProtection="1"/>
    <xf numFmtId="0" fontId="4" fillId="0" borderId="0" xfId="0" quotePrefix="1" applyFont="1" applyFill="1" applyBorder="1" applyProtection="1"/>
    <xf numFmtId="0" fontId="0" fillId="0" borderId="0" xfId="0" applyFill="1" applyBorder="1" applyProtection="1"/>
    <xf numFmtId="0" fontId="0" fillId="0" borderId="0" xfId="0" applyFill="1" applyAlignment="1" applyProtection="1">
      <alignment horizontal="center"/>
    </xf>
    <xf numFmtId="0" fontId="0" fillId="0" borderId="0" xfId="0" applyAlignment="1" applyProtection="1">
      <alignment horizontal="center"/>
    </xf>
    <xf numFmtId="0" fontId="0" fillId="0" borderId="0" xfId="0" applyBorder="1" applyAlignment="1" applyProtection="1">
      <alignment wrapText="1"/>
    </xf>
    <xf numFmtId="0" fontId="27" fillId="0" borderId="2" xfId="0" applyFont="1" applyBorder="1" applyAlignment="1" applyProtection="1">
      <alignment horizontal="left" readingOrder="1"/>
    </xf>
    <xf numFmtId="0" fontId="27" fillId="0" borderId="11" xfId="0" applyFont="1" applyBorder="1" applyAlignment="1" applyProtection="1">
      <alignment horizontal="left" readingOrder="1"/>
    </xf>
    <xf numFmtId="3" fontId="4" fillId="0" borderId="9" xfId="5"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2" fontId="4" fillId="2" borderId="9" xfId="0" applyNumberFormat="1" applyFont="1" applyFill="1" applyBorder="1" applyAlignment="1" applyProtection="1">
      <alignment horizontal="center" vertical="center"/>
      <protection locked="0"/>
    </xf>
    <xf numFmtId="9" fontId="4" fillId="0" borderId="0" xfId="6" applyFont="1" applyBorder="1" applyAlignment="1" applyProtection="1">
      <alignment horizontal="center"/>
    </xf>
    <xf numFmtId="1" fontId="4" fillId="0" borderId="5" xfId="0" applyNumberFormat="1" applyFont="1" applyFill="1" applyBorder="1" applyAlignment="1" applyProtection="1">
      <alignment horizontal="right"/>
    </xf>
    <xf numFmtId="0" fontId="4" fillId="0" borderId="0" xfId="0" quotePrefix="1" applyNumberFormat="1" applyFont="1" applyBorder="1" applyAlignment="1" applyProtection="1">
      <alignment horizontal="center" vertical="center"/>
    </xf>
    <xf numFmtId="3" fontId="4" fillId="0" borderId="14" xfId="0" applyNumberFormat="1" applyFont="1" applyBorder="1" applyAlignment="1" applyProtection="1">
      <alignment horizontal="right" vertical="center"/>
    </xf>
    <xf numFmtId="0" fontId="4" fillId="0" borderId="0" xfId="0" applyNumberFormat="1" applyFont="1" applyBorder="1" applyAlignment="1" applyProtection="1">
      <alignment vertical="center" wrapText="1"/>
    </xf>
    <xf numFmtId="0" fontId="4" fillId="0" borderId="10" xfId="0" applyNumberFormat="1" applyFont="1" applyBorder="1" applyAlignment="1" applyProtection="1">
      <alignment vertical="center"/>
    </xf>
    <xf numFmtId="0" fontId="4" fillId="0" borderId="0" xfId="0" quotePrefix="1" applyNumberFormat="1" applyFont="1" applyBorder="1" applyAlignment="1" applyProtection="1">
      <alignment horizontal="left"/>
    </xf>
    <xf numFmtId="4" fontId="4" fillId="0" borderId="9" xfId="5" applyNumberFormat="1" applyFont="1" applyBorder="1" applyAlignment="1" applyProtection="1">
      <alignment horizontal="center"/>
    </xf>
    <xf numFmtId="0" fontId="0" fillId="0" borderId="3" xfId="0" applyBorder="1" applyProtection="1"/>
    <xf numFmtId="0" fontId="4" fillId="0" borderId="0" xfId="0" applyFont="1" applyAlignment="1" applyProtection="1">
      <alignment vertical="center"/>
    </xf>
    <xf numFmtId="0" fontId="4" fillId="0" borderId="10" xfId="0" applyNumberFormat="1" applyFont="1" applyBorder="1" applyAlignment="1" applyProtection="1">
      <alignment horizontal="center" vertical="center"/>
    </xf>
    <xf numFmtId="3" fontId="4" fillId="0" borderId="15" xfId="0" applyNumberFormat="1" applyFont="1" applyBorder="1" applyAlignment="1" applyProtection="1">
      <alignment horizontal="right" vertical="center"/>
    </xf>
    <xf numFmtId="0" fontId="0" fillId="0" borderId="0" xfId="0" applyAlignment="1" applyProtection="1">
      <alignment vertical="center"/>
    </xf>
    <xf numFmtId="3" fontId="8" fillId="0" borderId="4" xfId="0" applyNumberFormat="1" applyFont="1" applyBorder="1" applyProtection="1"/>
    <xf numFmtId="4" fontId="4" fillId="0" borderId="0" xfId="0" applyNumberFormat="1" applyFont="1" applyBorder="1" applyAlignment="1" applyProtection="1">
      <alignment horizontal="center"/>
    </xf>
    <xf numFmtId="4" fontId="4" fillId="2" borderId="9" xfId="5" applyNumberFormat="1" applyFont="1" applyFill="1" applyBorder="1" applyAlignment="1" applyProtection="1">
      <alignment horizontal="center" vertical="center"/>
      <protection locked="0"/>
    </xf>
    <xf numFmtId="0" fontId="4" fillId="0" borderId="0" xfId="0" applyFont="1" applyBorder="1" applyAlignment="1" applyProtection="1">
      <alignment horizontal="right"/>
    </xf>
    <xf numFmtId="0" fontId="7" fillId="0" borderId="8" xfId="0" applyNumberFormat="1" applyFont="1" applyFill="1" applyBorder="1" applyAlignment="1" applyProtection="1">
      <alignment horizontal="left"/>
    </xf>
    <xf numFmtId="0" fontId="8" fillId="0" borderId="0" xfId="0" applyNumberFormat="1" applyFont="1" applyBorder="1" applyAlignment="1" applyProtection="1">
      <alignment vertical="center" wrapText="1"/>
    </xf>
    <xf numFmtId="0" fontId="4" fillId="0" borderId="0" xfId="0" applyFont="1" applyBorder="1" applyAlignment="1" applyProtection="1">
      <alignment vertical="center" wrapText="1"/>
    </xf>
    <xf numFmtId="164" fontId="4" fillId="0" borderId="0" xfId="0" applyNumberFormat="1" applyFont="1" applyBorder="1" applyAlignment="1" applyProtection="1">
      <alignment horizontal="center"/>
    </xf>
    <xf numFmtId="0" fontId="27" fillId="0" borderId="0" xfId="0" applyFont="1" applyBorder="1" applyAlignment="1" applyProtection="1">
      <alignment horizontal="left" readingOrder="1"/>
    </xf>
    <xf numFmtId="1" fontId="4" fillId="0" borderId="0" xfId="5" applyNumberFormat="1" applyFont="1" applyBorder="1" applyAlignment="1" applyProtection="1">
      <alignment horizontal="center"/>
    </xf>
    <xf numFmtId="0" fontId="5" fillId="0" borderId="0" xfId="0" applyNumberFormat="1" applyFont="1" applyBorder="1" applyAlignment="1" applyProtection="1">
      <alignment horizontal="right"/>
    </xf>
    <xf numFmtId="0" fontId="4" fillId="0" borderId="10" xfId="0" applyNumberFormat="1" applyFont="1" applyBorder="1" applyAlignment="1" applyProtection="1">
      <alignment horizontal="centerContinuous"/>
    </xf>
    <xf numFmtId="0" fontId="4" fillId="0" borderId="4" xfId="0" applyFont="1" applyBorder="1" applyAlignment="1" applyProtection="1">
      <alignment vertical="center"/>
    </xf>
    <xf numFmtId="0" fontId="4" fillId="0" borderId="0" xfId="0" applyNumberFormat="1" applyFont="1" applyFill="1" applyBorder="1" applyAlignment="1" applyProtection="1">
      <alignment horizontal="right" vertical="center"/>
    </xf>
    <xf numFmtId="3" fontId="4" fillId="0" borderId="9"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4" fontId="4" fillId="0" borderId="0" xfId="5" applyNumberFormat="1" applyFont="1" applyFill="1" applyBorder="1" applyAlignment="1" applyProtection="1">
      <alignment horizontal="center" vertical="center"/>
    </xf>
    <xf numFmtId="0"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xf>
    <xf numFmtId="2" fontId="4" fillId="0" borderId="10" xfId="0" applyNumberFormat="1" applyFont="1" applyFill="1" applyBorder="1" applyAlignment="1" applyProtection="1">
      <alignment horizontal="center"/>
    </xf>
    <xf numFmtId="0"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
    </xf>
    <xf numFmtId="2" fontId="4" fillId="0" borderId="0" xfId="0" applyNumberFormat="1" applyFont="1" applyFill="1" applyBorder="1" applyAlignment="1" applyProtection="1">
      <alignment horizontal="center" vertical="center"/>
    </xf>
    <xf numFmtId="3" fontId="4" fillId="0" borderId="0" xfId="0" applyNumberFormat="1" applyFont="1" applyFill="1" applyBorder="1" applyProtection="1"/>
    <xf numFmtId="0" fontId="4" fillId="0" borderId="3" xfId="0" applyNumberFormat="1" applyFont="1" applyFill="1" applyBorder="1" applyProtection="1"/>
    <xf numFmtId="3" fontId="8" fillId="0" borderId="0" xfId="0" applyNumberFormat="1" applyFont="1" applyBorder="1" applyProtection="1"/>
    <xf numFmtId="3" fontId="4" fillId="0" borderId="4" xfId="0" applyNumberFormat="1" applyFont="1" applyBorder="1" applyAlignment="1" applyProtection="1">
      <alignment horizontal="right"/>
    </xf>
    <xf numFmtId="0" fontId="25" fillId="0" borderId="2" xfId="0" applyNumberFormat="1" applyFont="1" applyBorder="1" applyProtection="1"/>
    <xf numFmtId="0" fontId="11" fillId="0" borderId="0" xfId="0" applyNumberFormat="1" applyFont="1" applyFill="1" applyBorder="1" applyAlignment="1" applyProtection="1">
      <alignment horizontal="center"/>
    </xf>
    <xf numFmtId="0" fontId="4" fillId="0" borderId="4" xfId="0" applyNumberFormat="1" applyFont="1" applyBorder="1" applyAlignment="1" applyProtection="1">
      <alignment vertical="center" wrapText="1"/>
    </xf>
    <xf numFmtId="2" fontId="4" fillId="0" borderId="14" xfId="0" applyNumberFormat="1" applyFont="1" applyBorder="1" applyAlignment="1" applyProtection="1">
      <alignment horizontal="center"/>
    </xf>
    <xf numFmtId="2" fontId="4" fillId="0" borderId="4" xfId="0" applyNumberFormat="1" applyFont="1" applyBorder="1" applyAlignment="1" applyProtection="1">
      <alignment horizontal="center"/>
    </xf>
    <xf numFmtId="0" fontId="4" fillId="0" borderId="0" xfId="0" quotePrefix="1" applyFont="1" applyAlignment="1" applyProtection="1">
      <alignment horizontal="center"/>
    </xf>
    <xf numFmtId="0" fontId="0" fillId="0" borderId="0" xfId="0" applyAlignment="1"/>
    <xf numFmtId="2" fontId="4" fillId="0" borderId="0" xfId="0" applyNumberFormat="1" applyFont="1" applyFill="1" applyBorder="1" applyAlignment="1" applyProtection="1"/>
    <xf numFmtId="0" fontId="4" fillId="0" borderId="0" xfId="0" applyNumberFormat="1" applyFont="1" applyBorder="1" applyAlignment="1" applyProtection="1">
      <alignment horizontal="left" wrapText="1"/>
    </xf>
    <xf numFmtId="0" fontId="29" fillId="0" borderId="0" xfId="0" applyFont="1" applyFill="1" applyBorder="1" applyAlignment="1" applyProtection="1">
      <alignment horizontal="left"/>
    </xf>
    <xf numFmtId="0" fontId="11" fillId="0" borderId="0" xfId="0" applyNumberFormat="1" applyFont="1" applyFill="1" applyBorder="1" applyAlignment="1" applyProtection="1">
      <alignment horizontal="right"/>
    </xf>
    <xf numFmtId="0" fontId="0" fillId="0" borderId="0" xfId="0" applyAlignment="1" applyProtection="1">
      <alignment horizontal="right" vertical="top" wrapText="1"/>
    </xf>
    <xf numFmtId="0" fontId="0" fillId="0" borderId="4" xfId="0" applyBorder="1" applyAlignment="1" applyProtection="1">
      <alignment horizontal="right" vertical="top" wrapText="1"/>
    </xf>
    <xf numFmtId="2" fontId="4" fillId="0" borderId="9" xfId="0" applyNumberFormat="1" applyFont="1" applyFill="1" applyBorder="1" applyAlignment="1" applyProtection="1">
      <alignment horizontal="center"/>
    </xf>
    <xf numFmtId="0" fontId="0" fillId="0" borderId="0" xfId="0" applyFill="1" applyAlignment="1" applyProtection="1">
      <alignment horizontal="left" wrapText="1"/>
    </xf>
    <xf numFmtId="0" fontId="0" fillId="0" borderId="4" xfId="0" applyFill="1" applyBorder="1" applyAlignment="1" applyProtection="1">
      <alignment horizontal="left" wrapText="1"/>
    </xf>
    <xf numFmtId="0" fontId="4" fillId="0" borderId="0" xfId="0" applyNumberFormat="1" applyFont="1" applyBorder="1" applyAlignment="1" applyProtection="1">
      <alignment vertical="top" wrapText="1"/>
    </xf>
    <xf numFmtId="3" fontId="4" fillId="0" borderId="0" xfId="5" applyNumberFormat="1" applyFont="1" applyBorder="1" applyAlignment="1" applyProtection="1">
      <alignment horizontal="center" vertical="center"/>
    </xf>
    <xf numFmtId="0" fontId="4" fillId="0" borderId="4" xfId="0" applyNumberFormat="1" applyFont="1" applyBorder="1" applyAlignment="1" applyProtection="1">
      <alignment vertical="center"/>
    </xf>
    <xf numFmtId="0" fontId="4" fillId="0" borderId="3" xfId="0" applyNumberFormat="1" applyFont="1" applyBorder="1" applyAlignment="1" applyProtection="1">
      <alignment vertical="center"/>
    </xf>
    <xf numFmtId="0" fontId="11" fillId="0" borderId="0" xfId="0" applyFont="1" applyBorder="1" applyAlignment="1" applyProtection="1">
      <alignment vertical="center"/>
    </xf>
    <xf numFmtId="0" fontId="11" fillId="0" borderId="0" xfId="0" applyFont="1" applyAlignment="1" applyProtection="1">
      <alignment vertical="center"/>
    </xf>
    <xf numFmtId="3" fontId="4" fillId="0" borderId="0" xfId="5" applyNumberFormat="1" applyFont="1" applyBorder="1" applyAlignment="1" applyProtection="1">
      <alignment vertical="center"/>
    </xf>
    <xf numFmtId="3" fontId="4" fillId="0" borderId="4" xfId="0" applyNumberFormat="1" applyFont="1" applyBorder="1" applyAlignment="1" applyProtection="1">
      <alignment vertical="center"/>
    </xf>
    <xf numFmtId="0" fontId="4" fillId="0" borderId="0" xfId="0" applyFont="1" applyBorder="1"/>
    <xf numFmtId="0" fontId="4" fillId="0" borderId="0" xfId="0" applyFont="1" applyBorder="1" applyAlignment="1">
      <alignment horizontal="center"/>
    </xf>
    <xf numFmtId="9" fontId="4" fillId="0" borderId="0" xfId="6" applyFont="1" applyFill="1" applyBorder="1" applyAlignment="1" applyProtection="1">
      <alignment horizontal="center"/>
    </xf>
    <xf numFmtId="0" fontId="4" fillId="0" borderId="0" xfId="0" applyFont="1" applyFill="1" applyAlignment="1">
      <alignment horizontal="center"/>
    </xf>
    <xf numFmtId="0" fontId="4" fillId="0" borderId="0" xfId="0" quotePrefix="1" applyFont="1" applyProtection="1"/>
    <xf numFmtId="2" fontId="4" fillId="0" borderId="0" xfId="0" applyNumberFormat="1" applyFont="1" applyFill="1" applyBorder="1" applyAlignment="1" applyProtection="1">
      <alignment horizontal="left"/>
    </xf>
    <xf numFmtId="0" fontId="9" fillId="0" borderId="0" xfId="0" applyFont="1" applyFill="1" applyBorder="1" applyProtection="1"/>
    <xf numFmtId="0" fontId="4" fillId="0" borderId="0" xfId="0" applyNumberFormat="1" applyFont="1" applyBorder="1" applyAlignment="1" applyProtection="1">
      <alignment horizontal="left" vertical="center"/>
    </xf>
    <xf numFmtId="3" fontId="4" fillId="2" borderId="9" xfId="5" applyNumberFormat="1" applyFont="1" applyFill="1" applyBorder="1" applyAlignment="1" applyProtection="1">
      <alignment horizontal="center" vertical="center"/>
      <protection locked="0"/>
    </xf>
    <xf numFmtId="0" fontId="16" fillId="0" borderId="0" xfId="0" applyFont="1" applyAlignment="1" applyProtection="1">
      <alignment vertical="center"/>
    </xf>
    <xf numFmtId="2" fontId="15" fillId="0" borderId="0" xfId="0" applyNumberFormat="1" applyFont="1" applyBorder="1" applyAlignment="1" applyProtection="1">
      <alignment vertical="top" wrapText="1"/>
    </xf>
    <xf numFmtId="9" fontId="4" fillId="0" borderId="0" xfId="6" quotePrefix="1" applyFont="1" applyFill="1" applyBorder="1" applyAlignment="1" applyProtection="1">
      <alignment horizontal="center"/>
    </xf>
    <xf numFmtId="0" fontId="4" fillId="0" borderId="0" xfId="0" applyFont="1" applyBorder="1" applyAlignment="1" applyProtection="1">
      <alignment horizontal="centerContinuous"/>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3" xfId="0" quotePrefix="1" applyNumberFormat="1" applyFont="1" applyBorder="1" applyAlignment="1" applyProtection="1">
      <alignment horizontal="right"/>
    </xf>
    <xf numFmtId="0" fontId="0" fillId="0" borderId="0" xfId="0" applyBorder="1" applyAlignment="1" applyProtection="1">
      <alignment horizontal="centerContinuous" wrapText="1"/>
    </xf>
    <xf numFmtId="0" fontId="4" fillId="0" borderId="0" xfId="0" applyFont="1" applyBorder="1" applyAlignment="1" applyProtection="1">
      <alignment wrapText="1"/>
    </xf>
    <xf numFmtId="2" fontId="4" fillId="0" borderId="9" xfId="0" applyNumberFormat="1" applyFont="1" applyFill="1" applyBorder="1" applyAlignment="1" applyProtection="1">
      <alignment horizontal="center" vertical="center"/>
    </xf>
    <xf numFmtId="0" fontId="10" fillId="0" borderId="3" xfId="0" applyNumberFormat="1" applyFont="1" applyBorder="1" applyAlignment="1" applyProtection="1">
      <alignment vertical="center"/>
    </xf>
    <xf numFmtId="3" fontId="8" fillId="0" borderId="5" xfId="0" applyNumberFormat="1" applyFont="1" applyBorder="1" applyProtection="1"/>
    <xf numFmtId="0" fontId="24" fillId="0" borderId="10" xfId="0" applyNumberFormat="1" applyFont="1" applyBorder="1" applyProtection="1"/>
    <xf numFmtId="0" fontId="5" fillId="0" borderId="10" xfId="0" applyFont="1" applyBorder="1" applyProtection="1"/>
    <xf numFmtId="3" fontId="8" fillId="0" borderId="10" xfId="0" applyNumberFormat="1" applyFont="1" applyBorder="1" applyProtection="1"/>
    <xf numFmtId="3" fontId="4" fillId="2" borderId="9" xfId="0" applyNumberFormat="1" applyFont="1" applyFill="1" applyBorder="1" applyAlignment="1" applyProtection="1">
      <alignment horizontal="center"/>
      <protection locked="0"/>
    </xf>
    <xf numFmtId="0" fontId="24" fillId="0" borderId="11" xfId="0" applyNumberFormat="1" applyFont="1" applyBorder="1" applyProtection="1"/>
    <xf numFmtId="3" fontId="4" fillId="0" borderId="9" xfId="0" applyNumberFormat="1" applyFont="1" applyBorder="1" applyAlignment="1" applyProtection="1">
      <alignment horizontal="center" vertical="center"/>
    </xf>
    <xf numFmtId="4" fontId="4" fillId="2" borderId="9" xfId="0" applyNumberFormat="1" applyFont="1" applyFill="1" applyBorder="1" applyAlignment="1" applyProtection="1">
      <alignment horizontal="center" vertical="center"/>
      <protection locked="0"/>
    </xf>
    <xf numFmtId="4" fontId="4" fillId="2" borderId="9" xfId="0" applyNumberFormat="1" applyFont="1" applyFill="1" applyBorder="1" applyAlignment="1" applyProtection="1">
      <alignment horizontal="center"/>
      <protection locked="0"/>
    </xf>
    <xf numFmtId="0" fontId="10" fillId="0" borderId="2" xfId="0" applyNumberFormat="1" applyFont="1" applyBorder="1" applyAlignment="1" applyProtection="1">
      <alignment vertical="center"/>
    </xf>
    <xf numFmtId="0" fontId="11" fillId="0" borderId="10" xfId="0" applyNumberFormat="1" applyFont="1" applyBorder="1" applyAlignment="1" applyProtection="1">
      <alignment horizontal="right"/>
    </xf>
    <xf numFmtId="3" fontId="4" fillId="0" borderId="5" xfId="0" applyNumberFormat="1" applyFont="1" applyFill="1" applyBorder="1" applyProtection="1"/>
    <xf numFmtId="2" fontId="4" fillId="0" borderId="0" xfId="5" applyNumberFormat="1" applyFont="1" applyBorder="1" applyAlignment="1" applyProtection="1">
      <alignment horizontal="center"/>
    </xf>
    <xf numFmtId="0" fontId="4" fillId="0" borderId="0" xfId="0" applyFont="1" applyAlignment="1" applyProtection="1">
      <alignment horizontal="left"/>
    </xf>
    <xf numFmtId="4" fontId="4" fillId="0" borderId="13" xfId="5" applyNumberFormat="1" applyFont="1" applyBorder="1" applyAlignment="1" applyProtection="1">
      <alignment horizontal="center"/>
    </xf>
    <xf numFmtId="0" fontId="4" fillId="0" borderId="0" xfId="0" applyNumberFormat="1" applyFont="1" applyBorder="1" applyAlignment="1" applyProtection="1">
      <alignment horizontal="right" vertical="center"/>
    </xf>
    <xf numFmtId="2" fontId="8" fillId="3" borderId="4" xfId="0" applyNumberFormat="1" applyFont="1" applyFill="1" applyBorder="1" applyAlignment="1" applyProtection="1">
      <alignment horizontal="center"/>
    </xf>
    <xf numFmtId="0" fontId="4" fillId="0" borderId="0" xfId="0" applyNumberFormat="1" applyFont="1" applyBorder="1" applyAlignment="1" applyProtection="1"/>
    <xf numFmtId="0" fontId="8" fillId="0" borderId="0" xfId="0" quotePrefix="1" applyNumberFormat="1" applyFont="1" applyBorder="1" applyAlignment="1" applyProtection="1">
      <alignment horizontal="right"/>
    </xf>
    <xf numFmtId="0" fontId="24" fillId="0" borderId="6" xfId="0" applyNumberFormat="1" applyFont="1" applyBorder="1" applyProtection="1"/>
    <xf numFmtId="0" fontId="5" fillId="0" borderId="3" xfId="0" applyNumberFormat="1" applyFont="1" applyBorder="1" applyProtection="1"/>
    <xf numFmtId="0" fontId="10" fillId="0" borderId="3" xfId="0" applyNumberFormat="1" applyFont="1" applyFill="1" applyBorder="1" applyAlignment="1" applyProtection="1">
      <alignment horizontal="left"/>
    </xf>
    <xf numFmtId="0" fontId="4" fillId="0" borderId="0" xfId="0" applyNumberFormat="1" applyFont="1" applyFill="1" applyBorder="1" applyAlignment="1" applyProtection="1">
      <alignment vertical="top"/>
    </xf>
    <xf numFmtId="0" fontId="10" fillId="0" borderId="0" xfId="0" applyFont="1" applyProtection="1"/>
    <xf numFmtId="0" fontId="8" fillId="0" borderId="0" xfId="0" applyNumberFormat="1" applyFont="1" applyBorder="1" applyAlignment="1" applyProtection="1">
      <alignment vertical="center"/>
    </xf>
    <xf numFmtId="2" fontId="4" fillId="2" borderId="14"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0" fontId="0" fillId="0" borderId="0" xfId="0" applyBorder="1" applyAlignment="1" applyProtection="1">
      <alignment vertical="center"/>
    </xf>
    <xf numFmtId="0" fontId="20" fillId="0" borderId="0" xfId="0" applyFont="1" applyBorder="1" applyProtection="1"/>
    <xf numFmtId="0" fontId="4" fillId="0" borderId="2" xfId="0" applyFont="1" applyBorder="1" applyAlignment="1" applyProtection="1">
      <alignment vertical="center"/>
    </xf>
    <xf numFmtId="0" fontId="4" fillId="0" borderId="3" xfId="0" applyFont="1" applyBorder="1" applyProtection="1"/>
    <xf numFmtId="0" fontId="6" fillId="0" borderId="3" xfId="0" applyFont="1" applyBorder="1" applyProtection="1"/>
    <xf numFmtId="0" fontId="4" fillId="0" borderId="6" xfId="0" quotePrefix="1" applyFont="1" applyBorder="1" applyProtection="1"/>
    <xf numFmtId="0" fontId="0" fillId="0" borderId="2" xfId="0" applyBorder="1" applyProtection="1"/>
    <xf numFmtId="0" fontId="0" fillId="0" borderId="11" xfId="0" applyBorder="1" applyProtection="1"/>
    <xf numFmtId="0" fontId="4" fillId="0" borderId="0" xfId="0" applyFont="1" applyBorder="1" applyAlignment="1" applyProtection="1">
      <alignment horizontal="left" vertical="top"/>
    </xf>
    <xf numFmtId="0" fontId="4" fillId="0" borderId="17" xfId="0" applyFont="1" applyBorder="1" applyAlignment="1" applyProtection="1">
      <alignment horizontal="right" vertical="top"/>
    </xf>
    <xf numFmtId="0" fontId="4" fillId="0" borderId="17" xfId="0" applyFont="1" applyBorder="1" applyProtection="1"/>
    <xf numFmtId="0" fontId="4" fillId="0" borderId="17" xfId="0" applyFont="1" applyBorder="1" applyAlignment="1" applyProtection="1">
      <alignment horizontal="left" vertical="top"/>
    </xf>
    <xf numFmtId="0" fontId="0" fillId="0" borderId="17" xfId="0" applyBorder="1" applyProtection="1"/>
    <xf numFmtId="0" fontId="30" fillId="0" borderId="18" xfId="0" applyFont="1" applyBorder="1" applyProtection="1"/>
    <xf numFmtId="0" fontId="0" fillId="0" borderId="18" xfId="0" applyBorder="1" applyProtection="1"/>
    <xf numFmtId="0" fontId="4" fillId="0" borderId="18" xfId="0" applyFont="1" applyBorder="1" applyAlignment="1">
      <alignment horizontal="center"/>
    </xf>
    <xf numFmtId="0" fontId="0" fillId="0" borderId="0" xfId="0" applyAlignment="1" applyProtection="1">
      <alignment wrapText="1"/>
    </xf>
    <xf numFmtId="0" fontId="0" fillId="0" borderId="0" xfId="0" applyAlignment="1" applyProtection="1">
      <alignment horizontal="center" wrapText="1"/>
    </xf>
    <xf numFmtId="0" fontId="11" fillId="0" borderId="0" xfId="0" applyNumberFormat="1" applyFont="1" applyBorder="1" applyAlignment="1" applyProtection="1">
      <alignment vertical="center" wrapText="1"/>
    </xf>
    <xf numFmtId="0" fontId="0" fillId="0" borderId="0" xfId="0" applyBorder="1" applyAlignment="1"/>
    <xf numFmtId="165" fontId="4" fillId="0" borderId="19" xfId="0" applyNumberFormat="1" applyFont="1" applyFill="1" applyBorder="1" applyAlignment="1" applyProtection="1">
      <alignment horizontal="center" vertical="center"/>
    </xf>
    <xf numFmtId="2" fontId="4" fillId="0" borderId="19" xfId="0" applyNumberFormat="1" applyFont="1" applyFill="1" applyBorder="1" applyAlignment="1" applyProtection="1">
      <alignment vertical="center"/>
    </xf>
    <xf numFmtId="165" fontId="4" fillId="0" borderId="0"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3" fontId="4" fillId="0" borderId="0"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3" fontId="4" fillId="0" borderId="6" xfId="0" applyNumberFormat="1" applyFont="1" applyFill="1" applyBorder="1" applyAlignment="1" applyProtection="1">
      <alignment horizontal="right"/>
    </xf>
    <xf numFmtId="0" fontId="4" fillId="0" borderId="6" xfId="0" applyNumberFormat="1" applyFont="1" applyFill="1" applyBorder="1" applyAlignment="1" applyProtection="1">
      <alignment vertical="center"/>
    </xf>
    <xf numFmtId="0" fontId="5" fillId="0" borderId="0" xfId="0" applyFont="1" applyBorder="1" applyAlignment="1" applyProtection="1">
      <alignment vertical="top"/>
    </xf>
    <xf numFmtId="0" fontId="24" fillId="0" borderId="0" xfId="0" applyFont="1" applyBorder="1" applyAlignment="1" applyProtection="1">
      <alignment horizontal="left"/>
    </xf>
    <xf numFmtId="0" fontId="32" fillId="0" borderId="0" xfId="0" applyFont="1" applyProtection="1"/>
    <xf numFmtId="0" fontId="12" fillId="0" borderId="0" xfId="0" applyFont="1" applyProtection="1"/>
    <xf numFmtId="0" fontId="12" fillId="0" borderId="0" xfId="0" applyNumberFormat="1" applyFont="1" applyBorder="1" applyProtection="1"/>
    <xf numFmtId="0" fontId="33" fillId="0" borderId="0" xfId="0" applyNumberFormat="1" applyFont="1" applyBorder="1" applyProtection="1"/>
    <xf numFmtId="0" fontId="33" fillId="0" borderId="0" xfId="0" applyNumberFormat="1" applyFont="1" applyBorder="1" applyAlignment="1" applyProtection="1">
      <alignment vertical="center"/>
    </xf>
    <xf numFmtId="0" fontId="33" fillId="0" borderId="0" xfId="0" applyFont="1" applyBorder="1" applyProtection="1"/>
    <xf numFmtId="0" fontId="33" fillId="0" borderId="0" xfId="0" applyFont="1" applyProtection="1"/>
    <xf numFmtId="0" fontId="0" fillId="0" borderId="0" xfId="0" applyBorder="1" applyAlignment="1">
      <alignment vertical="top" wrapText="1"/>
    </xf>
    <xf numFmtId="0" fontId="4" fillId="0" borderId="0" xfId="0" applyFont="1" applyFill="1" applyBorder="1" applyAlignment="1">
      <alignment vertical="top" wrapText="1"/>
    </xf>
    <xf numFmtId="0" fontId="0" fillId="0" borderId="0" xfId="0" applyBorder="1" applyAlignment="1">
      <alignment vertical="top"/>
    </xf>
    <xf numFmtId="0" fontId="0" fillId="0" borderId="0" xfId="0" applyBorder="1" applyAlignment="1" applyProtection="1">
      <alignment vertical="top" wrapText="1"/>
      <protection locked="0"/>
    </xf>
    <xf numFmtId="0" fontId="8" fillId="0" borderId="0" xfId="0" applyFont="1" applyBorder="1" applyAlignment="1">
      <alignment vertical="top" wrapText="1"/>
    </xf>
    <xf numFmtId="0" fontId="8" fillId="0" borderId="0" xfId="0" applyFont="1" applyFill="1" applyBorder="1" applyAlignment="1">
      <alignment vertical="top" wrapText="1"/>
    </xf>
    <xf numFmtId="0" fontId="4" fillId="0" borderId="0" xfId="0" applyFont="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vertical="top"/>
    </xf>
    <xf numFmtId="0" fontId="0" fillId="0" borderId="0" xfId="0" quotePrefix="1" applyFill="1" applyBorder="1" applyAlignment="1">
      <alignment vertical="top" wrapText="1"/>
    </xf>
    <xf numFmtId="0" fontId="4" fillId="0" borderId="0" xfId="0" quotePrefix="1" applyFont="1" applyFill="1" applyBorder="1" applyAlignment="1">
      <alignment vertical="top" wrapText="1"/>
    </xf>
    <xf numFmtId="49" fontId="4" fillId="0" borderId="0" xfId="0" applyNumberFormat="1" applyFont="1" applyFill="1" applyBorder="1" applyAlignment="1">
      <alignment vertical="top" wrapText="1"/>
    </xf>
    <xf numFmtId="0" fontId="4" fillId="0" borderId="0" xfId="0" applyFont="1" applyFill="1" applyBorder="1" applyAlignment="1">
      <alignment horizontal="left" vertical="top" wrapText="1"/>
    </xf>
    <xf numFmtId="0" fontId="4" fillId="0" borderId="0" xfId="0" quotePrefix="1" applyFont="1" applyBorder="1" applyAlignment="1">
      <alignment vertical="top" wrapText="1"/>
    </xf>
    <xf numFmtId="0" fontId="0" fillId="0" borderId="0" xfId="0" applyNumberFormat="1" applyFill="1" applyBorder="1" applyAlignment="1">
      <alignment horizontal="left" vertical="top" wrapText="1"/>
    </xf>
    <xf numFmtId="0" fontId="0" fillId="0" borderId="0" xfId="0" applyFont="1" applyFill="1" applyBorder="1" applyAlignment="1">
      <alignment vertical="top" wrapText="1"/>
    </xf>
    <xf numFmtId="49" fontId="0" fillId="0" borderId="0" xfId="0" applyNumberFormat="1" applyFill="1" applyBorder="1" applyAlignment="1">
      <alignment vertical="top" wrapText="1"/>
    </xf>
    <xf numFmtId="0" fontId="35" fillId="0" borderId="0" xfId="0" applyFont="1" applyFill="1" applyBorder="1" applyAlignment="1" applyProtection="1">
      <alignment horizontal="right"/>
    </xf>
    <xf numFmtId="0" fontId="12" fillId="0" borderId="0" xfId="0" applyFont="1" applyFill="1" applyBorder="1" applyAlignment="1" applyProtection="1">
      <alignment horizontal="right"/>
    </xf>
    <xf numFmtId="0" fontId="12" fillId="0" borderId="0" xfId="0" applyNumberFormat="1" applyFont="1" applyFill="1" applyBorder="1" applyAlignment="1" applyProtection="1">
      <alignment horizontal="right"/>
    </xf>
    <xf numFmtId="0" fontId="32" fillId="0" borderId="0" xfId="0" applyFont="1" applyFill="1" applyProtection="1"/>
    <xf numFmtId="0" fontId="12" fillId="0" borderId="0" xfId="0" applyNumberFormat="1" applyFont="1" applyBorder="1" applyAlignment="1" applyProtection="1">
      <alignment horizontal="center"/>
    </xf>
    <xf numFmtId="0" fontId="12" fillId="0" borderId="0" xfId="0" applyFont="1" applyBorder="1" applyAlignment="1" applyProtection="1">
      <alignment horizontal="justify" vertical="center" wrapText="1"/>
    </xf>
    <xf numFmtId="0" fontId="12" fillId="0" borderId="0" xfId="0" applyNumberFormat="1" applyFont="1" applyBorder="1" applyAlignment="1" applyProtection="1">
      <alignment vertical="center" wrapText="1"/>
    </xf>
    <xf numFmtId="0" fontId="36" fillId="0" borderId="0" xfId="0" applyNumberFormat="1" applyFont="1" applyBorder="1" applyProtection="1"/>
    <xf numFmtId="2" fontId="12" fillId="0" borderId="0" xfId="0" applyNumberFormat="1" applyFont="1" applyBorder="1" applyAlignment="1" applyProtection="1">
      <alignment horizontal="center"/>
    </xf>
    <xf numFmtId="0" fontId="12" fillId="0" borderId="0" xfId="0" applyNumberFormat="1" applyFont="1" applyBorder="1" applyAlignment="1" applyProtection="1">
      <alignment horizontal="right" wrapText="1"/>
    </xf>
    <xf numFmtId="2" fontId="12" fillId="0" borderId="0" xfId="0" applyNumberFormat="1" applyFont="1" applyFill="1" applyBorder="1" applyAlignment="1" applyProtection="1">
      <alignment horizontal="center" vertical="center"/>
    </xf>
    <xf numFmtId="0" fontId="32" fillId="0" borderId="0" xfId="0" applyFont="1" applyAlignment="1" applyProtection="1">
      <alignment vertical="center"/>
    </xf>
    <xf numFmtId="2" fontId="34" fillId="3" borderId="0" xfId="0" applyNumberFormat="1" applyFont="1" applyFill="1" applyBorder="1" applyAlignment="1" applyProtection="1">
      <alignment horizontal="center" vertical="center"/>
    </xf>
    <xf numFmtId="0" fontId="32" fillId="0" borderId="0" xfId="0" applyFont="1" applyBorder="1" applyProtection="1"/>
    <xf numFmtId="3" fontId="12" fillId="0" borderId="0" xfId="0" applyNumberFormat="1" applyFont="1" applyBorder="1" applyProtection="1"/>
    <xf numFmtId="0" fontId="12" fillId="0" borderId="0" xfId="0" applyFont="1" applyBorder="1" applyAlignment="1" applyProtection="1">
      <alignment horizontal="right"/>
    </xf>
    <xf numFmtId="1" fontId="12" fillId="0" borderId="0" xfId="0" applyNumberFormat="1" applyFont="1" applyFill="1" applyBorder="1" applyAlignment="1" applyProtection="1">
      <alignment horizontal="right"/>
    </xf>
    <xf numFmtId="3" fontId="34" fillId="0" borderId="0" xfId="0" applyNumberFormat="1" applyFont="1" applyBorder="1" applyProtection="1"/>
    <xf numFmtId="3" fontId="12" fillId="0" borderId="0" xfId="0" applyNumberFormat="1" applyFont="1" applyFill="1" applyBorder="1" applyProtection="1"/>
    <xf numFmtId="0" fontId="37" fillId="0" borderId="0" xfId="0" applyNumberFormat="1" applyFont="1" applyBorder="1" applyAlignment="1" applyProtection="1">
      <alignment vertical="center"/>
    </xf>
    <xf numFmtId="0" fontId="32" fillId="0" borderId="0" xfId="0" applyFont="1" applyBorder="1" applyAlignment="1" applyProtection="1">
      <alignment vertical="center"/>
    </xf>
    <xf numFmtId="0" fontId="32" fillId="0" borderId="0" xfId="0" applyFont="1" applyBorder="1" applyAlignment="1" applyProtection="1">
      <alignment horizontal="right" vertical="top" wrapText="1"/>
    </xf>
    <xf numFmtId="0" fontId="12" fillId="0" borderId="0" xfId="0" applyFont="1" applyBorder="1" applyAlignment="1">
      <alignment wrapText="1"/>
    </xf>
    <xf numFmtId="0" fontId="32" fillId="0" borderId="0" xfId="0" applyFont="1" applyFill="1" applyBorder="1" applyProtection="1"/>
    <xf numFmtId="0" fontId="12" fillId="0" borderId="0" xfId="0" applyFont="1" applyBorder="1" applyAlignment="1" applyProtection="1">
      <alignment horizontal="center"/>
    </xf>
    <xf numFmtId="1" fontId="4" fillId="0" borderId="0" xfId="0" applyNumberFormat="1" applyFont="1" applyFill="1" applyBorder="1" applyAlignment="1" applyProtection="1">
      <alignment horizontal="center"/>
    </xf>
    <xf numFmtId="0" fontId="8" fillId="0" borderId="0" xfId="0" applyFont="1" applyBorder="1" applyAlignment="1" applyProtection="1">
      <alignment horizontal="center" vertical="top" wrapText="1"/>
    </xf>
    <xf numFmtId="0" fontId="0" fillId="0" borderId="0" xfId="0" applyBorder="1" applyAlignment="1" applyProtection="1">
      <alignment horizontal="left" vertical="top" wrapText="1"/>
    </xf>
    <xf numFmtId="0" fontId="4" fillId="0" borderId="0" xfId="0" applyNumberFormat="1" applyFont="1" applyBorder="1" applyAlignment="1" applyProtection="1">
      <alignment horizontal="left" vertical="center" wrapText="1"/>
    </xf>
    <xf numFmtId="2" fontId="15" fillId="0" borderId="0" xfId="0" applyNumberFormat="1" applyFont="1" applyFill="1" applyBorder="1" applyAlignment="1" applyProtection="1">
      <alignment horizontal="left"/>
    </xf>
    <xf numFmtId="0" fontId="11" fillId="0" borderId="0" xfId="0" quotePrefix="1" applyNumberFormat="1" applyFont="1" applyFill="1" applyBorder="1" applyAlignment="1" applyProtection="1">
      <alignment horizontal="right"/>
    </xf>
    <xf numFmtId="3" fontId="4" fillId="0" borderId="0" xfId="5" quotePrefix="1" applyNumberFormat="1" applyFont="1" applyBorder="1" applyAlignment="1" applyProtection="1">
      <alignment horizontal="right" vertical="center"/>
    </xf>
    <xf numFmtId="166" fontId="4" fillId="0" borderId="9" xfId="6" applyNumberFormat="1" applyFont="1" applyFill="1" applyBorder="1" applyAlignment="1" applyProtection="1">
      <alignment horizontal="center" vertical="center"/>
    </xf>
    <xf numFmtId="3" fontId="4" fillId="0" borderId="20" xfId="5" applyNumberFormat="1" applyFont="1" applyBorder="1" applyAlignment="1" applyProtection="1">
      <alignment horizontal="center"/>
    </xf>
    <xf numFmtId="3" fontId="4" fillId="0" borderId="21" xfId="5" applyNumberFormat="1" applyFont="1" applyBorder="1" applyAlignment="1" applyProtection="1">
      <alignment horizontal="center"/>
    </xf>
    <xf numFmtId="0" fontId="8" fillId="0" borderId="0" xfId="0" applyNumberFormat="1" applyFont="1" applyFill="1" applyBorder="1" applyAlignment="1" applyProtection="1">
      <alignment horizontal="right" vertical="center"/>
    </xf>
    <xf numFmtId="0" fontId="0" fillId="0" borderId="2" xfId="0" applyFill="1" applyBorder="1" applyProtection="1"/>
    <xf numFmtId="0" fontId="0" fillId="0" borderId="11" xfId="0" applyFill="1" applyBorder="1" applyProtection="1"/>
    <xf numFmtId="0" fontId="4" fillId="0" borderId="17" xfId="0" applyNumberFormat="1" applyFont="1" applyBorder="1" applyProtection="1"/>
    <xf numFmtId="0" fontId="11" fillId="0" borderId="17" xfId="0" applyNumberFormat="1" applyFont="1" applyBorder="1" applyProtection="1"/>
    <xf numFmtId="2" fontId="4" fillId="0" borderId="0" xfId="0" applyNumberFormat="1" applyFont="1" applyBorder="1" applyAlignment="1" applyProtection="1">
      <alignment horizontal="left"/>
    </xf>
    <xf numFmtId="0" fontId="0" fillId="0" borderId="0" xfId="0" applyAlignment="1" applyProtection="1">
      <alignment horizontal="left" vertical="top"/>
    </xf>
    <xf numFmtId="2" fontId="8" fillId="3" borderId="22" xfId="0" applyNumberFormat="1" applyFont="1" applyFill="1" applyBorder="1" applyAlignment="1" applyProtection="1">
      <alignment horizontal="center" vertical="center"/>
    </xf>
    <xf numFmtId="0" fontId="7" fillId="0" borderId="0" xfId="0" applyNumberFormat="1" applyFont="1" applyBorder="1" applyAlignment="1" applyProtection="1">
      <alignment horizontal="left"/>
    </xf>
    <xf numFmtId="2" fontId="8" fillId="0" borderId="14" xfId="0" applyNumberFormat="1" applyFont="1" applyBorder="1" applyAlignment="1" applyProtection="1">
      <alignment horizontal="center"/>
    </xf>
    <xf numFmtId="2" fontId="4" fillId="0" borderId="16" xfId="0" applyNumberFormat="1" applyFont="1" applyFill="1" applyBorder="1" applyAlignment="1" applyProtection="1">
      <alignment horizontal="center"/>
    </xf>
    <xf numFmtId="2" fontId="4" fillId="0" borderId="16" xfId="0" applyNumberFormat="1" applyFont="1" applyBorder="1" applyAlignment="1" applyProtection="1">
      <alignment horizontal="center"/>
    </xf>
    <xf numFmtId="2" fontId="4" fillId="0" borderId="24" xfId="0" applyNumberFormat="1" applyFont="1" applyBorder="1" applyAlignment="1" applyProtection="1">
      <alignment horizontal="center"/>
    </xf>
    <xf numFmtId="2" fontId="4" fillId="2" borderId="19" xfId="0" applyNumberFormat="1" applyFont="1" applyFill="1" applyBorder="1" applyAlignment="1" applyProtection="1">
      <alignment horizontal="center" vertical="center"/>
      <protection locked="0"/>
    </xf>
    <xf numFmtId="1" fontId="4" fillId="2" borderId="19" xfId="0" applyNumberFormat="1" applyFont="1" applyFill="1" applyBorder="1" applyAlignment="1" applyProtection="1">
      <alignment horizontal="center" vertical="center"/>
      <protection locked="0"/>
    </xf>
    <xf numFmtId="0" fontId="4" fillId="0" borderId="4" xfId="0" applyNumberFormat="1" applyFont="1" applyBorder="1" applyAlignment="1" applyProtection="1">
      <alignment horizontal="left" wrapText="1"/>
    </xf>
    <xf numFmtId="0" fontId="4" fillId="0" borderId="0" xfId="0" applyNumberFormat="1" applyFont="1" applyBorder="1" applyAlignment="1" applyProtection="1">
      <alignment horizontal="right" vertical="top" wrapText="1"/>
    </xf>
    <xf numFmtId="0" fontId="8" fillId="0" borderId="17" xfId="0" applyNumberFormat="1" applyFont="1" applyBorder="1" applyAlignment="1" applyProtection="1">
      <alignment horizontal="center"/>
    </xf>
    <xf numFmtId="0" fontId="4" fillId="0" borderId="3" xfId="0" applyFont="1" applyBorder="1" applyAlignment="1" applyProtection="1">
      <alignment vertical="center"/>
    </xf>
    <xf numFmtId="0" fontId="5" fillId="0" borderId="0" xfId="0" applyFont="1" applyBorder="1" applyAlignment="1" applyProtection="1">
      <alignment vertical="center"/>
    </xf>
    <xf numFmtId="3" fontId="8" fillId="0" borderId="12" xfId="0" applyNumberFormat="1" applyFont="1" applyBorder="1" applyAlignment="1" applyProtection="1">
      <alignment horizontal="right" vertical="center"/>
    </xf>
    <xf numFmtId="0" fontId="6" fillId="0" borderId="3" xfId="0" applyFont="1" applyBorder="1" applyAlignment="1" applyProtection="1">
      <alignment vertical="center"/>
    </xf>
    <xf numFmtId="0" fontId="4" fillId="0" borderId="0" xfId="0" applyNumberFormat="1" applyFont="1" applyFill="1" applyBorder="1" applyAlignment="1" applyProtection="1">
      <alignment horizontal="left" vertical="center" wrapText="1"/>
    </xf>
    <xf numFmtId="167" fontId="4" fillId="0" borderId="9" xfId="5" applyNumberFormat="1" applyFont="1" applyBorder="1" applyAlignment="1" applyProtection="1">
      <alignment horizontal="center" vertical="center"/>
    </xf>
    <xf numFmtId="167" fontId="4" fillId="0" borderId="9" xfId="5" applyNumberFormat="1" applyFont="1" applyFill="1" applyBorder="1" applyAlignment="1" applyProtection="1">
      <alignment horizontal="center"/>
    </xf>
    <xf numFmtId="167" fontId="4" fillId="0" borderId="9" xfId="5" applyNumberFormat="1" applyFont="1" applyBorder="1" applyAlignment="1" applyProtection="1">
      <alignment horizontal="center"/>
    </xf>
    <xf numFmtId="0" fontId="40" fillId="0" borderId="3" xfId="0" applyNumberFormat="1" applyFont="1" applyBorder="1" applyAlignment="1" applyProtection="1">
      <alignment horizontal="right"/>
    </xf>
    <xf numFmtId="2" fontId="40" fillId="0" borderId="0" xfId="0" applyNumberFormat="1" applyFont="1" applyBorder="1" applyAlignment="1" applyProtection="1">
      <alignment horizontal="right"/>
    </xf>
    <xf numFmtId="2" fontId="40" fillId="0" borderId="0" xfId="0" quotePrefix="1" applyNumberFormat="1" applyFont="1" applyFill="1" applyBorder="1" applyAlignment="1" applyProtection="1">
      <alignment horizontal="center"/>
    </xf>
    <xf numFmtId="2" fontId="40" fillId="0" borderId="0" xfId="0" applyNumberFormat="1" applyFont="1" applyFill="1" applyBorder="1" applyAlignment="1" applyProtection="1">
      <alignment horizontal="center"/>
    </xf>
    <xf numFmtId="2" fontId="40" fillId="0" borderId="0" xfId="0" applyNumberFormat="1" applyFont="1" applyBorder="1" applyAlignment="1" applyProtection="1">
      <alignment horizontal="center"/>
    </xf>
    <xf numFmtId="0" fontId="40" fillId="0" borderId="0" xfId="0" applyNumberFormat="1" applyFont="1" applyBorder="1" applyProtection="1"/>
    <xf numFmtId="3" fontId="40" fillId="0" borderId="0" xfId="0" applyNumberFormat="1" applyFont="1" applyBorder="1" applyAlignment="1" applyProtection="1">
      <alignment horizontal="center"/>
    </xf>
    <xf numFmtId="0" fontId="40" fillId="0" borderId="0" xfId="0" applyNumberFormat="1" applyFont="1" applyBorder="1" applyAlignment="1" applyProtection="1">
      <alignment horizontal="center"/>
    </xf>
    <xf numFmtId="3" fontId="40" fillId="0" borderId="4" xfId="0" applyNumberFormat="1" applyFont="1" applyBorder="1" applyProtection="1"/>
    <xf numFmtId="0" fontId="41" fillId="0" borderId="0" xfId="0" applyNumberFormat="1" applyFont="1" applyBorder="1" applyProtection="1"/>
    <xf numFmtId="0" fontId="42" fillId="0" borderId="0" xfId="0" applyNumberFormat="1" applyFont="1" applyBorder="1" applyProtection="1"/>
    <xf numFmtId="0" fontId="40" fillId="0" borderId="4" xfId="0" applyNumberFormat="1" applyFont="1" applyBorder="1" applyAlignment="1" applyProtection="1">
      <alignment horizontal="center"/>
    </xf>
    <xf numFmtId="0" fontId="40" fillId="0" borderId="3" xfId="0" applyNumberFormat="1" applyFont="1" applyBorder="1" applyProtection="1"/>
    <xf numFmtId="3" fontId="40" fillId="0" borderId="9" xfId="5" applyNumberFormat="1" applyFont="1" applyFill="1" applyBorder="1" applyAlignment="1" applyProtection="1">
      <alignment horizontal="center"/>
    </xf>
    <xf numFmtId="4" fontId="40" fillId="2" borderId="9" xfId="5" applyNumberFormat="1" applyFont="1" applyFill="1" applyBorder="1" applyAlignment="1" applyProtection="1">
      <alignment horizontal="center"/>
      <protection locked="0"/>
    </xf>
    <xf numFmtId="3" fontId="40" fillId="0" borderId="9" xfId="5" applyNumberFormat="1" applyFont="1" applyBorder="1" applyAlignment="1" applyProtection="1">
      <alignment horizontal="center"/>
    </xf>
    <xf numFmtId="0" fontId="42" fillId="0" borderId="0" xfId="0" applyFont="1" applyBorder="1" applyAlignment="1" applyProtection="1">
      <alignment horizontal="left" readingOrder="1"/>
    </xf>
    <xf numFmtId="0" fontId="43" fillId="0" borderId="3" xfId="0" applyNumberFormat="1" applyFont="1" applyBorder="1" applyProtection="1"/>
    <xf numFmtId="3" fontId="40" fillId="0" borderId="0" xfId="0" applyNumberFormat="1" applyFont="1" applyFill="1" applyBorder="1" applyAlignment="1" applyProtection="1">
      <alignment horizontal="center"/>
    </xf>
    <xf numFmtId="1" fontId="40" fillId="0" borderId="4" xfId="0" applyNumberFormat="1" applyFont="1" applyFill="1" applyBorder="1" applyAlignment="1" applyProtection="1">
      <alignment horizontal="right"/>
    </xf>
    <xf numFmtId="3" fontId="40" fillId="0" borderId="7" xfId="0" applyNumberFormat="1" applyFont="1" applyBorder="1" applyProtection="1"/>
    <xf numFmtId="2" fontId="40" fillId="0" borderId="0" xfId="0" applyNumberFormat="1" applyFont="1" applyFill="1" applyBorder="1" applyAlignment="1" applyProtection="1">
      <alignment horizontal="left"/>
    </xf>
    <xf numFmtId="4" fontId="4" fillId="0" borderId="9" xfId="5" quotePrefix="1" applyNumberFormat="1" applyFont="1" applyBorder="1" applyAlignment="1" applyProtection="1">
      <alignment horizontal="center" vertical="center"/>
    </xf>
    <xf numFmtId="0" fontId="29" fillId="0" borderId="3" xfId="0" applyNumberFormat="1" applyFont="1" applyBorder="1" applyAlignment="1" applyProtection="1">
      <alignment vertical="top"/>
    </xf>
    <xf numFmtId="0" fontId="29" fillId="0" borderId="11" xfId="0" applyNumberFormat="1" applyFont="1" applyBorder="1" applyAlignment="1" applyProtection="1">
      <alignment vertical="top"/>
    </xf>
    <xf numFmtId="0" fontId="4" fillId="0" borderId="3" xfId="0" applyNumberFormat="1" applyFont="1" applyBorder="1" applyAlignment="1" applyProtection="1">
      <alignment vertical="top"/>
    </xf>
    <xf numFmtId="2" fontId="14" fillId="0" borderId="0" xfId="0" applyNumberFormat="1" applyFont="1" applyBorder="1" applyAlignment="1" applyProtection="1">
      <alignment horizontal="left"/>
    </xf>
    <xf numFmtId="2" fontId="14" fillId="0" borderId="0" xfId="0" applyNumberFormat="1" applyFont="1" applyFill="1" applyBorder="1" applyAlignment="1" applyProtection="1">
      <alignment horizontal="left"/>
    </xf>
    <xf numFmtId="0" fontId="14" fillId="0" borderId="6" xfId="0" applyNumberFormat="1" applyFont="1" applyBorder="1" applyProtection="1"/>
    <xf numFmtId="3" fontId="4" fillId="0" borderId="0" xfId="0" applyNumberFormat="1" applyFont="1" applyBorder="1" applyAlignment="1" applyProtection="1">
      <alignment wrapText="1"/>
    </xf>
    <xf numFmtId="0" fontId="0" fillId="0" borderId="0" xfId="0" applyBorder="1" applyAlignment="1">
      <alignment vertical="center" wrapText="1"/>
    </xf>
    <xf numFmtId="0" fontId="8" fillId="0" borderId="0" xfId="0" applyFont="1" applyBorder="1" applyAlignment="1" applyProtection="1">
      <alignment vertical="center" wrapText="1"/>
    </xf>
    <xf numFmtId="0" fontId="7" fillId="0" borderId="0" xfId="0" applyFont="1" applyFill="1" applyBorder="1" applyAlignment="1" applyProtection="1">
      <alignment horizontal="right"/>
    </xf>
    <xf numFmtId="0" fontId="7" fillId="0" borderId="0" xfId="0" applyNumberFormat="1" applyFont="1" applyFill="1" applyBorder="1" applyAlignment="1" applyProtection="1">
      <alignment horizontal="right"/>
    </xf>
    <xf numFmtId="3" fontId="4" fillId="0" borderId="0" xfId="0" applyNumberFormat="1" applyFont="1" applyBorder="1" applyAlignment="1" applyProtection="1">
      <alignment horizontal="right"/>
    </xf>
    <xf numFmtId="3" fontId="4" fillId="0" borderId="0" xfId="0" applyNumberFormat="1" applyFont="1" applyBorder="1" applyAlignment="1" applyProtection="1">
      <alignment horizontal="right" vertical="center"/>
    </xf>
    <xf numFmtId="3" fontId="8" fillId="0" borderId="0" xfId="0" applyNumberFormat="1" applyFont="1" applyBorder="1" applyAlignment="1" applyProtection="1">
      <alignment horizontal="right" vertical="center"/>
    </xf>
    <xf numFmtId="3" fontId="8" fillId="0" borderId="0" xfId="0" applyNumberFormat="1" applyFont="1" applyBorder="1" applyAlignment="1" applyProtection="1">
      <alignment horizontal="right"/>
    </xf>
    <xf numFmtId="0" fontId="0" fillId="0" borderId="0" xfId="0" applyBorder="1" applyAlignment="1">
      <alignment wrapText="1"/>
    </xf>
    <xf numFmtId="0" fontId="0" fillId="0" borderId="4" xfId="0" applyBorder="1" applyAlignment="1" applyProtection="1">
      <alignment vertical="center"/>
    </xf>
    <xf numFmtId="3" fontId="0" fillId="0" borderId="12" xfId="0" applyNumberFormat="1" applyBorder="1" applyAlignment="1" applyProtection="1">
      <alignment vertical="center"/>
    </xf>
    <xf numFmtId="0" fontId="4" fillId="0" borderId="2" xfId="0" applyNumberFormat="1" applyFont="1" applyBorder="1" applyAlignment="1" applyProtection="1">
      <alignment horizontal="left" vertical="center"/>
    </xf>
    <xf numFmtId="0" fontId="0" fillId="0" borderId="10" xfId="0" applyBorder="1" applyAlignment="1" applyProtection="1">
      <alignment horizontal="left" vertical="center"/>
    </xf>
    <xf numFmtId="0" fontId="4" fillId="0" borderId="3" xfId="0" applyNumberFormat="1" applyFont="1" applyBorder="1" applyAlignment="1" applyProtection="1">
      <alignment horizontal="left" vertical="center"/>
    </xf>
    <xf numFmtId="0" fontId="0" fillId="0" borderId="0" xfId="0" applyBorder="1" applyAlignment="1" applyProtection="1">
      <alignment horizontal="left" vertical="center"/>
    </xf>
    <xf numFmtId="0" fontId="8" fillId="0" borderId="0" xfId="0" applyFont="1" applyProtection="1"/>
    <xf numFmtId="0" fontId="4" fillId="0" borderId="0" xfId="0" applyFont="1" applyAlignment="1">
      <alignment vertical="center" wrapText="1"/>
    </xf>
    <xf numFmtId="0" fontId="4" fillId="0" borderId="0" xfId="0" applyNumberFormat="1" applyFont="1" applyBorder="1" applyAlignment="1" applyProtection="1">
      <alignment wrapText="1"/>
    </xf>
    <xf numFmtId="3" fontId="4" fillId="0" borderId="15" xfId="0" applyNumberFormat="1" applyFont="1" applyFill="1" applyBorder="1" applyAlignment="1" applyProtection="1">
      <alignment horizontal="center" vertical="center"/>
    </xf>
    <xf numFmtId="3" fontId="4" fillId="0" borderId="14" xfId="0" applyNumberFormat="1" applyFont="1" applyFill="1" applyBorder="1" applyAlignment="1" applyProtection="1">
      <alignment horizontal="center" vertical="center"/>
    </xf>
    <xf numFmtId="3" fontId="4" fillId="2" borderId="14" xfId="0" applyNumberFormat="1" applyFont="1" applyFill="1" applyBorder="1" applyAlignment="1" applyProtection="1">
      <alignment horizontal="center" vertical="center"/>
      <protection locked="0"/>
    </xf>
    <xf numFmtId="0" fontId="4" fillId="0" borderId="3" xfId="0" applyNumberFormat="1" applyFont="1" applyBorder="1" applyAlignment="1" applyProtection="1">
      <alignment horizontal="center"/>
    </xf>
    <xf numFmtId="0" fontId="4" fillId="0" borderId="11" xfId="0" applyNumberFormat="1" applyFont="1" applyBorder="1" applyAlignment="1" applyProtection="1">
      <alignment horizontal="center"/>
    </xf>
    <xf numFmtId="0" fontId="27" fillId="0" borderId="0" xfId="0" applyFont="1" applyBorder="1" applyAlignment="1" applyProtection="1">
      <alignment vertical="center" wrapText="1"/>
    </xf>
    <xf numFmtId="0" fontId="27" fillId="0" borderId="4" xfId="0" applyFont="1" applyBorder="1" applyAlignment="1" applyProtection="1">
      <alignment vertical="center" wrapText="1"/>
    </xf>
    <xf numFmtId="0" fontId="11" fillId="0" borderId="0" xfId="0" applyFont="1" applyAlignment="1" applyProtection="1">
      <alignment horizontal="left" vertical="center"/>
    </xf>
    <xf numFmtId="0" fontId="4" fillId="0" borderId="0" xfId="0" applyNumberFormat="1" applyFont="1" applyBorder="1" applyAlignment="1" applyProtection="1">
      <alignment horizontal="justify" wrapText="1"/>
    </xf>
    <xf numFmtId="3" fontId="4" fillId="4" borderId="9" xfId="5" applyNumberFormat="1" applyFont="1" applyFill="1" applyBorder="1" applyAlignment="1" applyProtection="1">
      <alignment horizontal="center" vertical="center"/>
      <protection locked="0"/>
    </xf>
    <xf numFmtId="0" fontId="9" fillId="0" borderId="3" xfId="0" applyNumberFormat="1" applyFont="1" applyBorder="1" applyAlignment="1" applyProtection="1">
      <alignment vertical="top"/>
    </xf>
    <xf numFmtId="0" fontId="0" fillId="5" borderId="0" xfId="0" applyFill="1" applyBorder="1" applyAlignment="1">
      <alignment vertical="top" wrapText="1"/>
    </xf>
    <xf numFmtId="0" fontId="0" fillId="5" borderId="0" xfId="0" applyFill="1" applyBorder="1" applyAlignment="1">
      <alignment vertical="top"/>
    </xf>
    <xf numFmtId="3" fontId="4" fillId="6" borderId="9" xfId="5" applyNumberFormat="1" applyFont="1" applyFill="1" applyBorder="1" applyAlignment="1" applyProtection="1">
      <alignment horizontal="center" vertical="center"/>
    </xf>
    <xf numFmtId="0" fontId="4" fillId="3" borderId="10" xfId="0" applyNumberFormat="1" applyFont="1" applyFill="1" applyBorder="1" applyAlignment="1" applyProtection="1">
      <alignment wrapText="1"/>
    </xf>
    <xf numFmtId="0" fontId="4" fillId="0" borderId="10" xfId="0" applyFont="1" applyBorder="1" applyAlignment="1">
      <alignment wrapText="1"/>
    </xf>
    <xf numFmtId="0" fontId="4" fillId="0" borderId="0" xfId="0" applyNumberFormat="1" applyFont="1" applyBorder="1" applyAlignment="1" applyProtection="1">
      <alignment horizontal="justify" vertical="center" wrapText="1"/>
    </xf>
    <xf numFmtId="0" fontId="32" fillId="0" borderId="0" xfId="0" applyFont="1" applyBorder="1" applyAlignment="1" applyProtection="1"/>
    <xf numFmtId="0" fontId="4" fillId="0" borderId="10" xfId="0" applyFont="1" applyBorder="1" applyAlignment="1">
      <alignment horizontal="right" vertical="top" wrapText="1"/>
    </xf>
    <xf numFmtId="0" fontId="10" fillId="0" borderId="3" xfId="0" applyFont="1" applyBorder="1" applyProtection="1"/>
    <xf numFmtId="1" fontId="4" fillId="0" borderId="9" xfId="0" applyNumberFormat="1" applyFont="1" applyFill="1" applyBorder="1" applyAlignment="1" applyProtection="1">
      <alignment horizontal="center"/>
    </xf>
    <xf numFmtId="0" fontId="4" fillId="0" borderId="0" xfId="0" applyNumberFormat="1" applyFont="1" applyFill="1" applyBorder="1" applyAlignment="1" applyProtection="1">
      <alignment vertical="top" wrapText="1"/>
    </xf>
    <xf numFmtId="0" fontId="0" fillId="7" borderId="0" xfId="0" applyFill="1" applyBorder="1" applyAlignment="1">
      <alignment vertical="top" wrapText="1"/>
    </xf>
    <xf numFmtId="0" fontId="4" fillId="7" borderId="0" xfId="0" applyFont="1" applyFill="1" applyBorder="1" applyAlignment="1">
      <alignment vertical="top" wrapText="1"/>
    </xf>
    <xf numFmtId="0" fontId="0" fillId="0" borderId="0" xfId="0" applyAlignment="1">
      <alignment vertical="center" wrapText="1"/>
    </xf>
    <xf numFmtId="0" fontId="0" fillId="0" borderId="0" xfId="0" applyBorder="1" applyAlignment="1" applyProtection="1">
      <alignment horizontal="right" vertical="top" wrapText="1"/>
    </xf>
    <xf numFmtId="0" fontId="0" fillId="0" borderId="4" xfId="0" applyBorder="1" applyAlignment="1" applyProtection="1">
      <alignment horizontal="right" vertical="top" wrapText="1"/>
    </xf>
    <xf numFmtId="2" fontId="4" fillId="0" borderId="0" xfId="0" applyNumberFormat="1" applyFont="1" applyFill="1" applyBorder="1" applyAlignment="1" applyProtection="1">
      <alignment horizontal="center" vertical="center" wrapText="1"/>
    </xf>
    <xf numFmtId="0" fontId="11" fillId="0" borderId="0" xfId="0" applyNumberFormat="1" applyFont="1" applyBorder="1" applyAlignment="1" applyProtection="1">
      <alignment horizontal="center" vertical="center"/>
    </xf>
    <xf numFmtId="3" fontId="11" fillId="0" borderId="4" xfId="0" applyNumberFormat="1" applyFont="1" applyFill="1" applyBorder="1" applyAlignment="1" applyProtection="1">
      <alignment horizontal="center" vertical="center"/>
    </xf>
    <xf numFmtId="0" fontId="0" fillId="0" borderId="0" xfId="0" applyBorder="1" applyAlignment="1" applyProtection="1">
      <alignment horizontal="center" vertical="center"/>
    </xf>
    <xf numFmtId="0" fontId="10" fillId="0" borderId="3"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xf>
    <xf numFmtId="0" fontId="0" fillId="0" borderId="0" xfId="0" applyAlignment="1">
      <alignment horizontal="center" vertical="center"/>
    </xf>
    <xf numFmtId="0" fontId="11" fillId="0" borderId="4" xfId="0" applyNumberFormat="1" applyFont="1" applyBorder="1" applyAlignment="1" applyProtection="1">
      <alignment horizontal="center" vertical="center"/>
    </xf>
    <xf numFmtId="0" fontId="11" fillId="0" borderId="0" xfId="0" applyFont="1" applyAlignment="1" applyProtection="1">
      <alignment horizontal="center" vertical="center"/>
    </xf>
    <xf numFmtId="0" fontId="0" fillId="0" borderId="0" xfId="0" applyAlignment="1" applyProtection="1">
      <alignment horizontal="center" vertical="center"/>
    </xf>
    <xf numFmtId="3" fontId="4" fillId="4" borderId="9" xfId="5" applyNumberFormat="1" applyFont="1" applyFill="1" applyBorder="1" applyAlignment="1" applyProtection="1">
      <alignment horizontal="center"/>
      <protection locked="0"/>
    </xf>
    <xf numFmtId="0" fontId="4" fillId="8" borderId="0" xfId="0" quotePrefix="1" applyFont="1" applyFill="1" applyBorder="1" applyAlignment="1">
      <alignment vertical="top" wrapText="1"/>
    </xf>
    <xf numFmtId="0" fontId="4" fillId="8" borderId="0" xfId="0" applyFont="1" applyFill="1" applyBorder="1" applyAlignment="1">
      <alignment vertical="top" wrapText="1"/>
    </xf>
    <xf numFmtId="0" fontId="10" fillId="0" borderId="3" xfId="0" applyNumberFormat="1" applyFont="1" applyBorder="1" applyAlignment="1" applyProtection="1">
      <alignment wrapText="1"/>
    </xf>
    <xf numFmtId="0" fontId="10" fillId="0" borderId="0" xfId="0" applyNumberFormat="1" applyFont="1" applyBorder="1" applyAlignment="1" applyProtection="1">
      <alignment wrapText="1"/>
    </xf>
    <xf numFmtId="2" fontId="4" fillId="2" borderId="9" xfId="0" applyNumberFormat="1" applyFont="1" applyFill="1" applyBorder="1" applyAlignment="1" applyProtection="1">
      <alignment horizontal="center"/>
      <protection locked="0"/>
    </xf>
    <xf numFmtId="0" fontId="4" fillId="0" borderId="0" xfId="0" applyNumberFormat="1" applyFont="1" applyBorder="1" applyAlignment="1" applyProtection="1">
      <alignment vertical="center" wrapText="1"/>
    </xf>
    <xf numFmtId="0" fontId="4" fillId="0" borderId="0" xfId="0" applyNumberFormat="1" applyFont="1" applyBorder="1" applyAlignment="1" applyProtection="1">
      <alignment horizontal="left" vertical="center" wrapText="1"/>
    </xf>
    <xf numFmtId="0" fontId="4" fillId="0" borderId="0" xfId="0" applyNumberFormat="1" applyFont="1" applyBorder="1" applyAlignment="1" applyProtection="1">
      <alignment horizontal="left" wrapText="1"/>
    </xf>
    <xf numFmtId="0" fontId="4" fillId="9" borderId="0" xfId="0" applyFont="1" applyFill="1" applyBorder="1" applyAlignment="1">
      <alignment vertical="top" wrapText="1"/>
    </xf>
    <xf numFmtId="0" fontId="4" fillId="10" borderId="0" xfId="0" applyFont="1" applyFill="1" applyBorder="1" applyAlignment="1">
      <alignment vertical="top" wrapText="1"/>
    </xf>
    <xf numFmtId="0" fontId="10" fillId="0" borderId="3" xfId="0" applyNumberFormat="1" applyFont="1" applyBorder="1" applyAlignment="1" applyProtection="1">
      <alignment horizontal="left"/>
    </xf>
    <xf numFmtId="0" fontId="14" fillId="0" borderId="0" xfId="0" applyNumberFormat="1" applyFont="1" applyBorder="1" applyAlignment="1" applyProtection="1">
      <alignment horizontal="left" wrapText="1"/>
    </xf>
    <xf numFmtId="0" fontId="4" fillId="0" borderId="0" xfId="0" applyNumberFormat="1" applyFont="1" applyBorder="1" applyAlignment="1" applyProtection="1">
      <alignment horizontal="left" vertical="center" wrapText="1"/>
    </xf>
    <xf numFmtId="0" fontId="4" fillId="0" borderId="0" xfId="0" applyNumberFormat="1" applyFont="1" applyBorder="1" applyAlignment="1" applyProtection="1">
      <alignment horizontal="left" wrapText="1"/>
    </xf>
    <xf numFmtId="0" fontId="10" fillId="0" borderId="3" xfId="0" applyNumberFormat="1" applyFont="1" applyBorder="1" applyAlignment="1" applyProtection="1">
      <alignment wrapText="1"/>
    </xf>
    <xf numFmtId="0" fontId="10" fillId="0" borderId="0" xfId="0" applyNumberFormat="1" applyFont="1" applyBorder="1" applyAlignment="1" applyProtection="1">
      <alignment wrapText="1"/>
    </xf>
    <xf numFmtId="0" fontId="0" fillId="11" borderId="0" xfId="0" applyFill="1" applyBorder="1" applyAlignment="1">
      <alignment vertical="top" wrapText="1"/>
    </xf>
    <xf numFmtId="0" fontId="0" fillId="12" borderId="0" xfId="0" applyFill="1" applyBorder="1" applyAlignment="1">
      <alignment vertical="top" wrapText="1"/>
    </xf>
    <xf numFmtId="0" fontId="4" fillId="11" borderId="0" xfId="0" applyFont="1" applyFill="1" applyBorder="1" applyAlignment="1">
      <alignment vertical="top" wrapText="1"/>
    </xf>
    <xf numFmtId="0" fontId="10" fillId="0" borderId="3" xfId="0" applyNumberFormat="1" applyFont="1" applyBorder="1" applyAlignment="1" applyProtection="1">
      <alignment horizontal="left" vertical="center"/>
    </xf>
    <xf numFmtId="3" fontId="4" fillId="0" borderId="9" xfId="0" applyNumberFormat="1" applyFont="1" applyFill="1" applyBorder="1" applyAlignment="1" applyProtection="1">
      <alignment horizontal="center" vertical="center"/>
    </xf>
    <xf numFmtId="2" fontId="4" fillId="0" borderId="0" xfId="0" applyNumberFormat="1" applyFont="1" applyBorder="1" applyAlignment="1" applyProtection="1">
      <alignment horizontal="center" vertical="center"/>
    </xf>
    <xf numFmtId="0" fontId="7" fillId="0" borderId="0" xfId="0" applyFont="1" applyBorder="1" applyAlignment="1" applyProtection="1">
      <alignment vertical="center"/>
    </xf>
    <xf numFmtId="0" fontId="14" fillId="0" borderId="0" xfId="0" applyNumberFormat="1" applyFont="1" applyBorder="1" applyAlignment="1" applyProtection="1">
      <alignment wrapText="1"/>
    </xf>
    <xf numFmtId="2" fontId="4" fillId="0" borderId="0" xfId="0" applyNumberFormat="1" applyFont="1" applyBorder="1" applyAlignment="1" applyProtection="1">
      <alignment vertical="top"/>
    </xf>
    <xf numFmtId="0" fontId="10" fillId="0" borderId="0" xfId="0" applyNumberFormat="1" applyFont="1" applyBorder="1" applyAlignment="1" applyProtection="1">
      <alignment horizontal="left" wrapText="1"/>
    </xf>
    <xf numFmtId="0" fontId="4" fillId="0" borderId="0" xfId="0" applyFont="1" applyBorder="1" applyAlignment="1" applyProtection="1">
      <alignment horizontal="left" wrapText="1"/>
    </xf>
    <xf numFmtId="2" fontId="4" fillId="0" borderId="10" xfId="0" applyNumberFormat="1" applyFont="1" applyBorder="1" applyProtection="1"/>
    <xf numFmtId="2" fontId="4" fillId="0" borderId="10" xfId="0" applyNumberFormat="1" applyFont="1" applyBorder="1" applyAlignment="1" applyProtection="1">
      <alignment horizontal="center"/>
    </xf>
    <xf numFmtId="0" fontId="10" fillId="0" borderId="30" xfId="0" applyNumberFormat="1" applyFont="1" applyBorder="1" applyAlignment="1" applyProtection="1">
      <alignment horizontal="left" vertical="top"/>
    </xf>
    <xf numFmtId="0" fontId="10" fillId="0" borderId="13" xfId="0" applyNumberFormat="1" applyFont="1" applyBorder="1" applyAlignment="1" applyProtection="1">
      <alignment wrapText="1"/>
    </xf>
    <xf numFmtId="2" fontId="4" fillId="0" borderId="13" xfId="0" applyNumberFormat="1" applyFont="1" applyBorder="1" applyProtection="1"/>
    <xf numFmtId="0" fontId="4" fillId="0" borderId="13" xfId="0" applyFont="1" applyFill="1" applyBorder="1" applyAlignment="1" applyProtection="1">
      <alignment horizontal="center"/>
    </xf>
    <xf numFmtId="2" fontId="4" fillId="0" borderId="13" xfId="0" applyNumberFormat="1" applyFont="1" applyBorder="1" applyAlignment="1" applyProtection="1">
      <alignment horizontal="center"/>
    </xf>
    <xf numFmtId="0" fontId="4" fillId="0" borderId="13" xfId="0" applyNumberFormat="1" applyFont="1" applyBorder="1" applyProtection="1"/>
    <xf numFmtId="0" fontId="4" fillId="0" borderId="13" xfId="0" applyNumberFormat="1" applyFont="1" applyBorder="1" applyAlignment="1" applyProtection="1">
      <alignment horizontal="center"/>
    </xf>
    <xf numFmtId="3" fontId="4" fillId="0" borderId="22" xfId="0" applyNumberFormat="1" applyFont="1" applyBorder="1" applyProtection="1"/>
    <xf numFmtId="0" fontId="10" fillId="0" borderId="30" xfId="0" applyNumberFormat="1" applyFont="1" applyBorder="1" applyAlignment="1" applyProtection="1">
      <alignment horizontal="left"/>
    </xf>
    <xf numFmtId="0" fontId="14" fillId="0" borderId="13" xfId="0" applyNumberFormat="1" applyFont="1" applyBorder="1" applyAlignment="1" applyProtection="1">
      <alignment wrapText="1"/>
    </xf>
    <xf numFmtId="0" fontId="10" fillId="0" borderId="30" xfId="0" applyNumberFormat="1" applyFont="1" applyBorder="1" applyProtection="1"/>
    <xf numFmtId="0" fontId="8" fillId="0" borderId="13" xfId="0" applyNumberFormat="1" applyFont="1" applyBorder="1" applyProtection="1"/>
    <xf numFmtId="0" fontId="5" fillId="0" borderId="2" xfId="0" applyFont="1" applyBorder="1" applyProtection="1"/>
    <xf numFmtId="0" fontId="4" fillId="0" borderId="10" xfId="0" applyNumberFormat="1" applyFont="1" applyBorder="1" applyAlignment="1" applyProtection="1">
      <alignment horizontal="left"/>
    </xf>
    <xf numFmtId="0" fontId="4" fillId="0" borderId="10" xfId="0" applyNumberFormat="1" applyFont="1" applyBorder="1" applyAlignment="1" applyProtection="1">
      <alignment horizontal="left" wrapText="1"/>
    </xf>
    <xf numFmtId="2" fontId="4" fillId="0" borderId="13" xfId="0" applyNumberFormat="1" applyFont="1" applyBorder="1" applyAlignment="1" applyProtection="1">
      <alignment horizontal="right"/>
    </xf>
    <xf numFmtId="2" fontId="4" fillId="0" borderId="13" xfId="0" quotePrefix="1" applyNumberFormat="1" applyFont="1" applyFill="1" applyBorder="1" applyAlignment="1" applyProtection="1">
      <alignment horizontal="center"/>
    </xf>
    <xf numFmtId="2" fontId="4" fillId="0" borderId="13" xfId="0" applyNumberFormat="1" applyFont="1" applyFill="1" applyBorder="1" applyAlignment="1" applyProtection="1">
      <alignment horizontal="center"/>
    </xf>
    <xf numFmtId="0" fontId="4" fillId="0" borderId="13" xfId="0" applyFont="1" applyFill="1" applyBorder="1" applyProtection="1"/>
    <xf numFmtId="0" fontId="4" fillId="0" borderId="13" xfId="0" applyNumberFormat="1" applyFont="1" applyBorder="1" applyAlignment="1" applyProtection="1">
      <alignment horizontal="left" vertical="center" wrapText="1"/>
    </xf>
    <xf numFmtId="0" fontId="4" fillId="0" borderId="13" xfId="0" applyNumberFormat="1" applyFont="1" applyBorder="1" applyAlignment="1" applyProtection="1">
      <alignment horizontal="right"/>
    </xf>
    <xf numFmtId="9" fontId="4" fillId="0" borderId="0" xfId="6" applyFont="1" applyBorder="1" applyAlignment="1" applyProtection="1">
      <alignment horizontal="center" vertical="center"/>
    </xf>
    <xf numFmtId="2" fontId="4" fillId="0" borderId="0" xfId="0" quotePrefix="1" applyNumberFormat="1" applyFont="1" applyBorder="1" applyAlignment="1" applyProtection="1">
      <alignment horizontal="center" vertical="center"/>
    </xf>
    <xf numFmtId="0" fontId="10" fillId="0" borderId="3" xfId="0" applyNumberFormat="1" applyFont="1" applyBorder="1" applyAlignment="1" applyProtection="1">
      <alignment vertical="center" wrapText="1"/>
    </xf>
    <xf numFmtId="0" fontId="6" fillId="0" borderId="3" xfId="0" applyNumberFormat="1" applyFont="1" applyBorder="1" applyAlignment="1" applyProtection="1">
      <alignment vertical="center"/>
    </xf>
    <xf numFmtId="0" fontId="28" fillId="10" borderId="0" xfId="0" applyFont="1" applyFill="1" applyBorder="1" applyAlignment="1">
      <alignment vertical="top" wrapText="1"/>
    </xf>
    <xf numFmtId="2" fontId="4" fillId="2" borderId="9" xfId="0" applyNumberFormat="1" applyFont="1" applyFill="1" applyBorder="1" applyAlignment="1" applyProtection="1">
      <alignment horizontal="center" vertical="center"/>
      <protection locked="0"/>
    </xf>
    <xf numFmtId="0" fontId="4" fillId="0" borderId="0" xfId="0" applyNumberFormat="1" applyFont="1" applyBorder="1" applyAlignment="1" applyProtection="1">
      <alignment horizontal="left" vertical="top" wrapText="1"/>
    </xf>
    <xf numFmtId="0" fontId="14" fillId="0" borderId="0" xfId="0" applyNumberFormat="1" applyFont="1" applyBorder="1" applyAlignment="1" applyProtection="1">
      <alignment horizontal="left"/>
    </xf>
    <xf numFmtId="0" fontId="44" fillId="0" borderId="0" xfId="0" applyNumberFormat="1" applyFont="1" applyBorder="1" applyProtection="1"/>
    <xf numFmtId="0" fontId="14" fillId="0" borderId="0" xfId="0" applyFont="1" applyBorder="1" applyProtection="1"/>
    <xf numFmtId="0" fontId="14" fillId="0" borderId="0" xfId="0" applyNumberFormat="1" applyFont="1" applyBorder="1" applyProtection="1"/>
    <xf numFmtId="3" fontId="14" fillId="0" borderId="0" xfId="5" applyNumberFormat="1" applyFont="1" applyBorder="1" applyAlignment="1" applyProtection="1">
      <alignment horizontal="center"/>
    </xf>
    <xf numFmtId="0" fontId="14" fillId="0" borderId="0" xfId="0"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4" fillId="12" borderId="0" xfId="0" applyFont="1" applyFill="1" applyBorder="1" applyAlignment="1">
      <alignment vertical="top" wrapText="1"/>
    </xf>
    <xf numFmtId="9" fontId="8" fillId="0" borderId="23" xfId="6" applyFont="1" applyBorder="1" applyAlignment="1" applyProtection="1">
      <alignment horizontal="center" vertical="center"/>
    </xf>
    <xf numFmtId="0" fontId="4" fillId="0" borderId="0" xfId="0" applyFont="1" applyBorder="1" applyAlignment="1" applyProtection="1">
      <alignment horizontal="left" vertical="top" wrapText="1"/>
    </xf>
    <xf numFmtId="0" fontId="10" fillId="0" borderId="0" xfId="0" applyNumberFormat="1" applyFont="1" applyBorder="1" applyAlignment="1" applyProtection="1">
      <alignment vertical="center" wrapText="1"/>
    </xf>
    <xf numFmtId="0" fontId="7" fillId="0" borderId="0" xfId="0" applyNumberFormat="1" applyFont="1" applyBorder="1" applyAlignment="1" applyProtection="1">
      <alignment horizontal="center" vertical="center"/>
    </xf>
    <xf numFmtId="0" fontId="5" fillId="0" borderId="2" xfId="0" applyNumberFormat="1" applyFont="1" applyBorder="1" applyAlignment="1" applyProtection="1">
      <alignment vertical="top"/>
    </xf>
    <xf numFmtId="0" fontId="5" fillId="0" borderId="10" xfId="0" applyNumberFormat="1" applyFont="1" applyBorder="1" applyAlignment="1" applyProtection="1">
      <alignment vertical="top"/>
    </xf>
    <xf numFmtId="0" fontId="4" fillId="0" borderId="0" xfId="0" applyNumberFormat="1" applyFont="1" applyBorder="1" applyAlignment="1" applyProtection="1">
      <alignment vertical="center" wrapText="1"/>
    </xf>
    <xf numFmtId="0" fontId="10" fillId="0" borderId="0" xfId="0" applyNumberFormat="1" applyFont="1" applyBorder="1" applyAlignment="1" applyProtection="1">
      <alignment horizontal="left" wrapText="1"/>
    </xf>
    <xf numFmtId="0" fontId="0" fillId="0" borderId="0" xfId="0" applyAlignment="1" applyProtection="1">
      <alignment wrapText="1"/>
    </xf>
    <xf numFmtId="2" fontId="4" fillId="2" borderId="9" xfId="0" applyNumberFormat="1" applyFont="1" applyFill="1" applyBorder="1" applyAlignment="1" applyProtection="1">
      <alignment horizontal="center" vertical="center"/>
      <protection locked="0"/>
    </xf>
    <xf numFmtId="0" fontId="14" fillId="0" borderId="0" xfId="0" applyFont="1" applyAlignment="1" applyProtection="1">
      <alignment horizontal="left" wrapText="1"/>
    </xf>
    <xf numFmtId="0" fontId="0" fillId="0" borderId="0" xfId="0" applyFill="1" applyBorder="1" applyAlignment="1" applyProtection="1">
      <alignment horizontal="center" vertical="center"/>
    </xf>
    <xf numFmtId="0" fontId="4" fillId="0" borderId="0" xfId="0" applyFont="1" applyAlignment="1" applyProtection="1">
      <alignment vertical="center" wrapText="1"/>
    </xf>
    <xf numFmtId="0" fontId="4" fillId="0" borderId="0" xfId="0" applyNumberFormat="1" applyFont="1" applyBorder="1" applyAlignment="1" applyProtection="1">
      <alignment horizontal="left" vertical="center" wrapText="1"/>
    </xf>
    <xf numFmtId="0" fontId="4" fillId="0" borderId="0" xfId="0" applyNumberFormat="1" applyFont="1" applyBorder="1" applyAlignment="1" applyProtection="1">
      <alignment horizontal="right" vertical="center" wrapText="1"/>
    </xf>
    <xf numFmtId="2" fontId="4" fillId="2" borderId="9" xfId="0" applyNumberFormat="1" applyFont="1" applyFill="1" applyBorder="1" applyAlignment="1" applyProtection="1">
      <alignment horizontal="center" vertical="center"/>
      <protection locked="0"/>
    </xf>
    <xf numFmtId="0" fontId="14" fillId="0" borderId="0" xfId="0" applyNumberFormat="1" applyFont="1" applyBorder="1" applyAlignment="1" applyProtection="1">
      <alignment vertical="top"/>
    </xf>
    <xf numFmtId="3" fontId="4" fillId="0" borderId="0" xfId="5"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wrapText="1"/>
    </xf>
    <xf numFmtId="0" fontId="31" fillId="0" borderId="4" xfId="0" applyNumberFormat="1" applyFont="1" applyBorder="1" applyAlignment="1" applyProtection="1">
      <alignment horizontal="left" vertical="top" wrapText="1"/>
    </xf>
    <xf numFmtId="0" fontId="4" fillId="3" borderId="10" xfId="0" applyNumberFormat="1" applyFont="1" applyFill="1" applyBorder="1" applyAlignment="1" applyProtection="1">
      <alignment wrapText="1"/>
    </xf>
    <xf numFmtId="0" fontId="4" fillId="0" borderId="10" xfId="0" applyFont="1" applyBorder="1" applyAlignment="1">
      <alignment wrapText="1"/>
    </xf>
    <xf numFmtId="0" fontId="4" fillId="2" borderId="25" xfId="0" applyNumberFormat="1" applyFont="1" applyFill="1" applyBorder="1" applyAlignment="1" applyProtection="1">
      <protection locked="0"/>
    </xf>
    <xf numFmtId="0" fontId="0" fillId="0" borderId="25" xfId="0" applyBorder="1" applyAlignment="1" applyProtection="1">
      <protection locked="0"/>
    </xf>
    <xf numFmtId="0" fontId="4" fillId="2" borderId="25" xfId="0" applyNumberFormat="1" applyFont="1" applyFill="1" applyBorder="1" applyAlignment="1" applyProtection="1">
      <alignment horizontal="left"/>
      <protection locked="0"/>
    </xf>
    <xf numFmtId="0" fontId="4" fillId="0" borderId="0" xfId="0" applyNumberFormat="1" applyFont="1" applyFill="1" applyBorder="1" applyAlignment="1" applyProtection="1">
      <alignment vertical="top" wrapText="1"/>
    </xf>
    <xf numFmtId="2" fontId="15" fillId="0" borderId="0" xfId="0" applyNumberFormat="1" applyFont="1" applyBorder="1" applyAlignment="1" applyProtection="1">
      <alignment horizontal="left" vertical="top" wrapText="1"/>
    </xf>
    <xf numFmtId="0" fontId="39" fillId="0" borderId="6" xfId="0" applyNumberFormat="1" applyFont="1" applyBorder="1" applyAlignment="1" applyProtection="1">
      <alignment wrapText="1"/>
    </xf>
    <xf numFmtId="0" fontId="4" fillId="0" borderId="0" xfId="0" applyNumberFormat="1" applyFont="1" applyFill="1" applyBorder="1" applyAlignment="1" applyProtection="1">
      <alignment horizontal="justify" vertical="center" wrapText="1"/>
    </xf>
    <xf numFmtId="0" fontId="4" fillId="0" borderId="0" xfId="0" applyNumberFormat="1" applyFont="1" applyBorder="1" applyAlignment="1" applyProtection="1">
      <alignment vertical="center" wrapText="1"/>
    </xf>
    <xf numFmtId="0" fontId="4" fillId="0" borderId="0" xfId="0" applyNumberFormat="1"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4" fillId="0" borderId="4" xfId="0" applyFont="1" applyBorder="1" applyAlignment="1" applyProtection="1">
      <alignment horizontal="justify" vertical="center" wrapText="1"/>
    </xf>
    <xf numFmtId="0" fontId="4" fillId="0" borderId="0" xfId="0" applyNumberFormat="1" applyFont="1" applyBorder="1" applyAlignment="1" applyProtection="1">
      <alignment horizontal="center" vertical="center" wrapText="1"/>
    </xf>
    <xf numFmtId="0" fontId="4" fillId="0" borderId="0" xfId="0" applyNumberFormat="1" applyFont="1" applyBorder="1" applyAlignment="1" applyProtection="1">
      <alignment horizontal="left" vertical="center" wrapText="1"/>
    </xf>
    <xf numFmtId="0" fontId="4" fillId="0" borderId="4" xfId="0" applyNumberFormat="1" applyFont="1" applyBorder="1" applyAlignment="1" applyProtection="1">
      <alignment vertical="center" wrapText="1"/>
    </xf>
    <xf numFmtId="0" fontId="4" fillId="0" borderId="0" xfId="0" applyNumberFormat="1" applyFont="1" applyBorder="1" applyAlignment="1" applyProtection="1">
      <alignment horizontal="right" vertical="center" wrapText="1"/>
    </xf>
    <xf numFmtId="0" fontId="4" fillId="0" borderId="0" xfId="0" applyNumberFormat="1" applyFont="1" applyBorder="1" applyAlignment="1" applyProtection="1">
      <alignment horizontal="left" wrapText="1"/>
    </xf>
    <xf numFmtId="0" fontId="4" fillId="0" borderId="4" xfId="0" applyNumberFormat="1" applyFont="1" applyBorder="1" applyAlignment="1" applyProtection="1">
      <alignment horizontal="left" wrapText="1"/>
    </xf>
    <xf numFmtId="0" fontId="12" fillId="0" borderId="0" xfId="0" applyFont="1" applyBorder="1" applyAlignment="1" applyProtection="1">
      <alignment horizontal="right" textRotation="90"/>
    </xf>
    <xf numFmtId="0" fontId="0" fillId="0" borderId="0" xfId="0" applyAlignment="1">
      <alignment vertical="center" wrapText="1"/>
    </xf>
    <xf numFmtId="0" fontId="8" fillId="0" borderId="0" xfId="0" applyFont="1" applyFill="1" applyAlignment="1" applyProtection="1">
      <alignment horizontal="right" vertical="center" wrapText="1"/>
    </xf>
    <xf numFmtId="0" fontId="0" fillId="0" borderId="0" xfId="0" applyAlignment="1">
      <alignment vertical="center"/>
    </xf>
    <xf numFmtId="0" fontId="0" fillId="0" borderId="26" xfId="0" applyBorder="1" applyAlignment="1">
      <alignment vertical="center"/>
    </xf>
    <xf numFmtId="0" fontId="4" fillId="0" borderId="10" xfId="0" applyNumberFormat="1" applyFont="1" applyBorder="1" applyAlignment="1" applyProtection="1">
      <alignment vertical="center" wrapText="1"/>
    </xf>
    <xf numFmtId="0" fontId="4" fillId="3" borderId="6" xfId="0" applyNumberFormat="1" applyFont="1" applyFill="1" applyBorder="1" applyAlignment="1" applyProtection="1">
      <alignment wrapText="1"/>
    </xf>
    <xf numFmtId="0" fontId="4" fillId="0" borderId="6" xfId="0" applyFont="1" applyBorder="1" applyAlignment="1">
      <alignment wrapText="1"/>
    </xf>
    <xf numFmtId="0" fontId="4" fillId="0" borderId="27" xfId="0" applyFont="1" applyBorder="1" applyAlignment="1">
      <alignment wrapText="1"/>
    </xf>
    <xf numFmtId="0" fontId="4" fillId="0" borderId="0" xfId="0" applyNumberFormat="1" applyFont="1" applyBorder="1" applyAlignment="1" applyProtection="1">
      <alignment wrapText="1"/>
    </xf>
    <xf numFmtId="0" fontId="4" fillId="0" borderId="4" xfId="0" applyNumberFormat="1" applyFont="1" applyBorder="1" applyAlignment="1" applyProtection="1">
      <alignment wrapText="1"/>
    </xf>
    <xf numFmtId="0" fontId="15" fillId="0" borderId="10" xfId="0" applyNumberFormat="1" applyFont="1" applyBorder="1" applyAlignment="1" applyProtection="1">
      <alignment horizontal="left" wrapText="1"/>
    </xf>
    <xf numFmtId="0" fontId="15" fillId="0" borderId="5" xfId="0" applyNumberFormat="1" applyFont="1" applyBorder="1" applyAlignment="1" applyProtection="1">
      <alignment horizontal="left" wrapText="1"/>
    </xf>
    <xf numFmtId="0" fontId="4" fillId="0" borderId="0" xfId="0" applyFont="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27" fillId="0" borderId="0" xfId="0" applyFont="1" applyBorder="1" applyAlignment="1" applyProtection="1">
      <alignment horizontal="left" vertical="top" wrapText="1" readingOrder="1"/>
    </xf>
    <xf numFmtId="0" fontId="27" fillId="0" borderId="4" xfId="0" applyFont="1" applyBorder="1" applyAlignment="1" applyProtection="1">
      <alignment horizontal="left" vertical="top" wrapText="1" readingOrder="1"/>
    </xf>
    <xf numFmtId="0" fontId="4" fillId="0" borderId="10" xfId="0" applyFont="1" applyBorder="1" applyAlignment="1" applyProtection="1">
      <alignment horizontal="center" wrapText="1"/>
    </xf>
    <xf numFmtId="0" fontId="0" fillId="0" borderId="10" xfId="0" applyBorder="1" applyAlignment="1">
      <alignment horizontal="center" wrapText="1"/>
    </xf>
    <xf numFmtId="0" fontId="0" fillId="0" borderId="0" xfId="0" applyAlignment="1">
      <alignment horizontal="center" wrapText="1"/>
    </xf>
    <xf numFmtId="0" fontId="4" fillId="0" borderId="0" xfId="0" applyFont="1" applyBorder="1" applyAlignment="1" applyProtection="1">
      <alignment horizontal="center" wrapText="1"/>
    </xf>
    <xf numFmtId="0" fontId="0" fillId="0" borderId="0" xfId="0" applyBorder="1" applyAlignment="1">
      <alignment horizontal="center" wrapText="1"/>
    </xf>
    <xf numFmtId="0" fontId="40" fillId="0" borderId="0" xfId="0" applyFont="1" applyBorder="1" applyAlignment="1" applyProtection="1">
      <alignment horizontal="center" wrapText="1"/>
    </xf>
    <xf numFmtId="0" fontId="40" fillId="0" borderId="0" xfId="0" applyFont="1" applyBorder="1" applyAlignment="1">
      <alignment horizontal="center" wrapText="1"/>
    </xf>
    <xf numFmtId="0" fontId="27" fillId="0" borderId="0" xfId="0" applyFont="1" applyBorder="1" applyAlignment="1" applyProtection="1">
      <alignment vertical="top" wrapText="1" readingOrder="1"/>
    </xf>
    <xf numFmtId="0" fontId="27" fillId="0" borderId="4" xfId="0" applyFont="1" applyBorder="1" applyAlignment="1" applyProtection="1">
      <alignment vertical="top" wrapText="1" readingOrder="1"/>
    </xf>
    <xf numFmtId="0" fontId="11" fillId="0" borderId="0" xfId="0" applyNumberFormat="1" applyFont="1" applyBorder="1" applyAlignment="1" applyProtection="1">
      <alignment vertical="center" wrapText="1"/>
    </xf>
    <xf numFmtId="0" fontId="11" fillId="0" borderId="0" xfId="0" applyFont="1" applyBorder="1" applyAlignment="1">
      <alignment vertical="center" wrapText="1"/>
    </xf>
    <xf numFmtId="0" fontId="11" fillId="0" borderId="4" xfId="0" applyFont="1" applyBorder="1" applyAlignment="1">
      <alignment vertical="center" wrapText="1"/>
    </xf>
    <xf numFmtId="0" fontId="11" fillId="0" borderId="6" xfId="0" applyNumberFormat="1" applyFont="1" applyBorder="1" applyAlignment="1" applyProtection="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4" fillId="3" borderId="0" xfId="0" applyNumberFormat="1" applyFont="1" applyFill="1" applyBorder="1" applyAlignment="1" applyProtection="1">
      <alignment wrapText="1"/>
    </xf>
    <xf numFmtId="0" fontId="5" fillId="0" borderId="6" xfId="0" applyNumberFormat="1" applyFont="1" applyBorder="1" applyAlignment="1" applyProtection="1">
      <alignment wrapText="1"/>
    </xf>
    <xf numFmtId="1" fontId="4" fillId="2" borderId="9" xfId="0" applyNumberFormat="1" applyFont="1" applyFill="1" applyBorder="1" applyAlignment="1" applyProtection="1">
      <alignment horizontal="left"/>
      <protection locked="0"/>
    </xf>
    <xf numFmtId="0" fontId="0" fillId="0" borderId="0" xfId="0" applyBorder="1" applyAlignment="1" applyProtection="1">
      <alignment wrapText="1"/>
    </xf>
    <xf numFmtId="0" fontId="14" fillId="0" borderId="0" xfId="0" applyNumberFormat="1" applyFont="1" applyBorder="1" applyAlignment="1" applyProtection="1">
      <alignment horizontal="left" wrapText="1"/>
    </xf>
    <xf numFmtId="0" fontId="0" fillId="0" borderId="0" xfId="0" applyAlignment="1" applyProtection="1">
      <alignment wrapText="1"/>
    </xf>
    <xf numFmtId="0" fontId="0" fillId="0" borderId="0" xfId="0" applyAlignment="1" applyProtection="1">
      <alignment vertical="center" wrapText="1"/>
    </xf>
    <xf numFmtId="0" fontId="14" fillId="0" borderId="0" xfId="0" applyFont="1" applyAlignment="1" applyProtection="1">
      <alignment horizontal="left" wrapText="1"/>
    </xf>
    <xf numFmtId="0" fontId="14" fillId="0" borderId="0" xfId="0" applyFont="1" applyAlignment="1" applyProtection="1">
      <alignment horizontal="left" vertical="center" wrapText="1"/>
    </xf>
    <xf numFmtId="0" fontId="14" fillId="0" borderId="0" xfId="0" applyNumberFormat="1" applyFont="1" applyBorder="1" applyAlignment="1" applyProtection="1">
      <alignment vertical="top" wrapText="1"/>
    </xf>
    <xf numFmtId="0" fontId="4" fillId="0" borderId="4" xfId="0" applyNumberFormat="1" applyFont="1" applyBorder="1" applyAlignment="1" applyProtection="1">
      <alignment horizontal="right" vertical="center" wrapText="1"/>
    </xf>
    <xf numFmtId="0" fontId="0" fillId="0" borderId="0" xfId="0" applyAlignment="1" applyProtection="1">
      <alignment horizontal="left" vertical="center" wrapText="1"/>
    </xf>
    <xf numFmtId="0" fontId="10" fillId="0" borderId="3" xfId="0" applyNumberFormat="1" applyFont="1" applyBorder="1" applyAlignment="1" applyProtection="1">
      <alignment horizontal="left" wrapText="1"/>
    </xf>
    <xf numFmtId="0" fontId="10" fillId="0" borderId="0" xfId="0" applyNumberFormat="1" applyFont="1" applyBorder="1" applyAlignment="1" applyProtection="1">
      <alignment horizontal="left" wrapText="1"/>
    </xf>
    <xf numFmtId="0" fontId="4" fillId="0" borderId="10" xfId="0" applyFont="1" applyBorder="1" applyAlignment="1" applyProtection="1">
      <alignment wrapText="1"/>
    </xf>
    <xf numFmtId="0" fontId="14" fillId="0" borderId="0" xfId="0" applyNumberFormat="1" applyFont="1" applyBorder="1" applyAlignment="1" applyProtection="1">
      <alignment horizontal="left" vertical="center" wrapText="1"/>
    </xf>
    <xf numFmtId="2" fontId="4" fillId="2" borderId="9" xfId="0" applyNumberFormat="1" applyFont="1" applyFill="1" applyBorder="1" applyAlignment="1" applyProtection="1">
      <alignment horizontal="center" vertical="center"/>
      <protection locked="0"/>
    </xf>
    <xf numFmtId="2" fontId="4" fillId="2" borderId="31" xfId="0" applyNumberFormat="1" applyFont="1" applyFill="1" applyBorder="1" applyAlignment="1" applyProtection="1">
      <alignment horizontal="center" vertical="center"/>
      <protection locked="0"/>
    </xf>
    <xf numFmtId="0" fontId="5" fillId="0" borderId="2" xfId="0" applyNumberFormat="1" applyFont="1" applyBorder="1" applyAlignment="1" applyProtection="1">
      <alignment vertical="center" wrapText="1"/>
    </xf>
    <xf numFmtId="0" fontId="5" fillId="0" borderId="10" xfId="0" applyNumberFormat="1" applyFont="1" applyBorder="1" applyAlignment="1" applyProtection="1">
      <alignment vertical="center" wrapText="1"/>
    </xf>
    <xf numFmtId="0" fontId="4" fillId="0" borderId="17" xfId="0" applyNumberFormat="1" applyFont="1" applyBorder="1" applyAlignment="1" applyProtection="1">
      <alignment horizontal="left" vertical="center" wrapText="1"/>
    </xf>
    <xf numFmtId="0" fontId="8" fillId="0" borderId="0" xfId="0" applyNumberFormat="1" applyFont="1" applyBorder="1" applyAlignment="1" applyProtection="1">
      <alignment horizontal="right" wrapText="1"/>
    </xf>
    <xf numFmtId="0" fontId="11" fillId="0" borderId="10" xfId="0" applyFont="1" applyBorder="1" applyAlignment="1" applyProtection="1">
      <alignment wrapText="1"/>
    </xf>
    <xf numFmtId="0" fontId="4" fillId="0" borderId="10" xfId="0" applyFont="1" applyFill="1" applyBorder="1" applyAlignment="1" applyProtection="1">
      <alignment horizontal="center" vertical="top" wrapText="1"/>
    </xf>
    <xf numFmtId="0" fontId="4" fillId="0" borderId="0" xfId="0" applyNumberFormat="1" applyFont="1" applyBorder="1" applyAlignment="1" applyProtection="1">
      <alignment horizontal="justify" wrapText="1"/>
    </xf>
    <xf numFmtId="0" fontId="10" fillId="0" borderId="2" xfId="0" applyNumberFormat="1" applyFont="1" applyBorder="1" applyAlignment="1" applyProtection="1">
      <alignment vertical="center" wrapText="1"/>
    </xf>
    <xf numFmtId="0" fontId="10" fillId="0" borderId="10" xfId="0" applyNumberFormat="1" applyFont="1" applyBorder="1" applyAlignment="1" applyProtection="1">
      <alignment vertical="center" wrapText="1"/>
    </xf>
    <xf numFmtId="0" fontId="4" fillId="0" borderId="3" xfId="0" applyNumberFormat="1" applyFont="1" applyBorder="1" applyAlignment="1" applyProtection="1">
      <alignment horizontal="left" vertical="center" wrapText="1"/>
    </xf>
    <xf numFmtId="0" fontId="0" fillId="0" borderId="0" xfId="0" applyAlignment="1">
      <alignment horizontal="left" vertical="center" wrapText="1"/>
    </xf>
    <xf numFmtId="0" fontId="4" fillId="0" borderId="0" xfId="0" applyFont="1" applyBorder="1" applyAlignment="1" applyProtection="1">
      <alignment vertical="center" wrapText="1"/>
    </xf>
    <xf numFmtId="0" fontId="8" fillId="0" borderId="0" xfId="0" applyFont="1" applyBorder="1" applyAlignment="1" applyProtection="1">
      <alignment vertical="center" wrapText="1"/>
    </xf>
    <xf numFmtId="0" fontId="8" fillId="0" borderId="4" xfId="0" applyFont="1" applyBorder="1" applyAlignment="1" applyProtection="1">
      <alignment vertical="center" wrapText="1"/>
    </xf>
    <xf numFmtId="0" fontId="4" fillId="0" borderId="10" xfId="0" quotePrefix="1" applyFont="1" applyBorder="1" applyAlignment="1" applyProtection="1">
      <alignment wrapText="1"/>
    </xf>
    <xf numFmtId="0" fontId="0" fillId="0" borderId="10" xfId="0" applyBorder="1" applyAlignment="1">
      <alignment wrapText="1"/>
    </xf>
    <xf numFmtId="0" fontId="0" fillId="0" borderId="5" xfId="0" applyBorder="1" applyAlignment="1">
      <alignment wrapText="1"/>
    </xf>
    <xf numFmtId="0" fontId="0" fillId="0" borderId="0" xfId="0" applyBorder="1" applyAlignment="1">
      <alignment horizontal="left" vertical="center" wrapText="1"/>
    </xf>
    <xf numFmtId="0" fontId="4" fillId="0" borderId="4" xfId="0" applyNumberFormat="1" applyFont="1" applyBorder="1" applyAlignment="1" applyProtection="1">
      <alignment horizontal="left" vertical="center" wrapText="1"/>
    </xf>
    <xf numFmtId="0" fontId="4" fillId="0" borderId="0" xfId="0" applyFont="1" applyBorder="1" applyAlignment="1" applyProtection="1">
      <alignment wrapText="1"/>
    </xf>
    <xf numFmtId="3" fontId="4" fillId="0" borderId="0" xfId="0" applyNumberFormat="1" applyFont="1" applyBorder="1" applyAlignment="1" applyProtection="1">
      <alignment wrapText="1"/>
    </xf>
    <xf numFmtId="3" fontId="4" fillId="0" borderId="4" xfId="0" applyNumberFormat="1" applyFont="1" applyBorder="1" applyAlignment="1" applyProtection="1">
      <alignment wrapText="1"/>
    </xf>
    <xf numFmtId="0" fontId="4" fillId="0" borderId="10" xfId="0" applyFont="1" applyBorder="1" applyAlignment="1" applyProtection="1">
      <alignment vertical="center" wrapText="1"/>
    </xf>
    <xf numFmtId="0" fontId="14" fillId="0" borderId="0" xfId="0" applyNumberFormat="1" applyFont="1" applyBorder="1" applyAlignment="1" applyProtection="1">
      <alignment vertical="center" wrapText="1"/>
    </xf>
    <xf numFmtId="0" fontId="8" fillId="0" borderId="0" xfId="0" applyNumberFormat="1" applyFont="1" applyFill="1" applyBorder="1" applyAlignment="1" applyProtection="1">
      <alignment vertical="center" wrapText="1"/>
    </xf>
    <xf numFmtId="0" fontId="8" fillId="0" borderId="0" xfId="0" applyFont="1" applyBorder="1" applyAlignment="1" applyProtection="1">
      <alignment horizontal="center" vertical="top" wrapText="1"/>
    </xf>
    <xf numFmtId="0" fontId="8" fillId="0" borderId="6" xfId="0" applyFont="1" applyBorder="1" applyAlignment="1" applyProtection="1">
      <alignment horizontal="left" vertical="top" wrapText="1"/>
    </xf>
    <xf numFmtId="3" fontId="4" fillId="0" borderId="28" xfId="0" applyNumberFormat="1" applyFont="1" applyFill="1" applyBorder="1" applyAlignment="1" applyProtection="1">
      <alignment horizontal="right" vertical="center"/>
    </xf>
    <xf numFmtId="0" fontId="0" fillId="0" borderId="27" xfId="0" applyBorder="1" applyAlignment="1">
      <alignment vertical="center"/>
    </xf>
    <xf numFmtId="3" fontId="4" fillId="0" borderId="9" xfId="0" applyNumberFormat="1" applyFont="1" applyFill="1" applyBorder="1" applyAlignment="1" applyProtection="1">
      <alignment horizontal="right"/>
    </xf>
    <xf numFmtId="0" fontId="0" fillId="0" borderId="9" xfId="0" applyBorder="1" applyAlignment="1"/>
    <xf numFmtId="3" fontId="4" fillId="0" borderId="12" xfId="0" applyNumberFormat="1" applyFont="1" applyFill="1" applyBorder="1" applyAlignment="1" applyProtection="1">
      <alignment horizontal="right" vertical="center"/>
    </xf>
    <xf numFmtId="0" fontId="0" fillId="0" borderId="12" xfId="0" applyBorder="1" applyAlignment="1">
      <alignment vertical="center"/>
    </xf>
    <xf numFmtId="0" fontId="0" fillId="0" borderId="0" xfId="0" applyBorder="1" applyAlignment="1" applyProtection="1">
      <alignment horizontal="left" vertical="top" wrapText="1"/>
    </xf>
    <xf numFmtId="0" fontId="0" fillId="0" borderId="29" xfId="0" applyBorder="1" applyAlignment="1">
      <alignment horizontal="left" vertical="center" wrapText="1"/>
    </xf>
    <xf numFmtId="0" fontId="11" fillId="0" borderId="0" xfId="0" applyNumberFormat="1" applyFont="1" applyBorder="1" applyAlignment="1" applyProtection="1">
      <alignment horizontal="left" vertical="center" wrapText="1"/>
    </xf>
    <xf numFmtId="0" fontId="11" fillId="0" borderId="29" xfId="0" applyNumberFormat="1" applyFont="1" applyBorder="1" applyAlignment="1" applyProtection="1">
      <alignment horizontal="left" vertical="center" wrapText="1"/>
    </xf>
    <xf numFmtId="0" fontId="4" fillId="0" borderId="0" xfId="0" applyFont="1" applyBorder="1" applyAlignment="1" applyProtection="1">
      <alignment horizontal="left" wrapText="1"/>
    </xf>
    <xf numFmtId="0" fontId="4" fillId="0" borderId="29" xfId="0" applyFont="1" applyBorder="1" applyAlignment="1" applyProtection="1">
      <alignment horizontal="left" wrapText="1"/>
    </xf>
  </cellXfs>
  <cellStyles count="7">
    <cellStyle name="dbkatalog" xfId="1"/>
    <cellStyle name="DB-Katalog" xfId="2"/>
    <cellStyle name="dbkatalog_Bv8699" xfId="3"/>
    <cellStyle name="DB-Katalog_Bv8699" xfId="4"/>
    <cellStyle name="Milliers" xfId="5" builtinId="3"/>
    <cellStyle name="Normal" xfId="0" builtinId="0"/>
    <cellStyle name="Pourcentage" xfId="6" builtinId="5"/>
  </cellStyles>
  <dxfs count="2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22" fmlaLink="Texte!$A$2" fmlaRange="Texte!$A$3:$A$4" sel="2" val="0"/>
</file>

<file path=xl/ctrlProps/ctrlProp2.xml><?xml version="1.0" encoding="utf-8"?>
<formControlPr xmlns="http://schemas.microsoft.com/office/spreadsheetml/2009/9/main" objectType="Drop" dropLines="5" dropStyle="combo" dx="25" fmlaLink="Texte!$B$2" fmlaRange="Texte!$A$435:$A$439" noThreeD="1" sel="1" val="0"/>
</file>

<file path=xl/ctrlProps/ctrlProp3.xml><?xml version="1.0" encoding="utf-8"?>
<formControlPr xmlns="http://schemas.microsoft.com/office/spreadsheetml/2009/9/main" objectType="Drop" dropLines="2" dropStyle="combo" dx="22" fmlaLink="Texte!$C$2" fmlaRange="Texte!$A$204:$A$205" sel="1" val="0"/>
</file>

<file path=xl/ctrlProps/ctrlProp4.xml><?xml version="1.0" encoding="utf-8"?>
<formControlPr xmlns="http://schemas.microsoft.com/office/spreadsheetml/2009/9/main" objectType="Drop" dropLines="2" dropStyle="combo" dx="25" fmlaLink="Texte!$D$2" fmlaRange="Texte!$A$204:$A$205"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85725</xdr:rowOff>
    </xdr:from>
    <xdr:to>
      <xdr:col>2</xdr:col>
      <xdr:colOff>1152525</xdr:colOff>
      <xdr:row>0</xdr:row>
      <xdr:rowOff>428625</xdr:rowOff>
    </xdr:to>
    <xdr:pic>
      <xdr:nvPicPr>
        <xdr:cNvPr id="15840" name="Picture 15" descr="LOGO AGRIDEA-quadri-sansbase">
          <a:extLst>
            <a:ext uri="{FF2B5EF4-FFF2-40B4-BE49-F238E27FC236}">
              <a16:creationId xmlns:a16="http://schemas.microsoft.com/office/drawing/2014/main" id="{00000000-0008-0000-0000-0000E03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152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619125</xdr:colOff>
      <xdr:row>24</xdr:row>
      <xdr:rowOff>152400</xdr:rowOff>
    </xdr:from>
    <xdr:to>
      <xdr:col>11</xdr:col>
      <xdr:colOff>28575</xdr:colOff>
      <xdr:row>28</xdr:row>
      <xdr:rowOff>133350</xdr:rowOff>
    </xdr:to>
    <xdr:grpSp>
      <xdr:nvGrpSpPr>
        <xdr:cNvPr id="15841" name="Group 27">
          <a:extLst>
            <a:ext uri="{FF2B5EF4-FFF2-40B4-BE49-F238E27FC236}">
              <a16:creationId xmlns:a16="http://schemas.microsoft.com/office/drawing/2014/main" id="{00000000-0008-0000-0000-0000E13D0000}"/>
            </a:ext>
          </a:extLst>
        </xdr:cNvPr>
        <xdr:cNvGrpSpPr>
          <a:grpSpLocks/>
        </xdr:cNvGrpSpPr>
      </xdr:nvGrpSpPr>
      <xdr:grpSpPr bwMode="auto">
        <a:xfrm>
          <a:off x="6467475" y="5848350"/>
          <a:ext cx="152400" cy="895350"/>
          <a:chOff x="675" y="624"/>
          <a:chExt cx="25" cy="95"/>
        </a:xfrm>
      </xdr:grpSpPr>
      <xdr:sp macro="" textlink="">
        <xdr:nvSpPr>
          <xdr:cNvPr id="15842" name="Line 24">
            <a:extLst>
              <a:ext uri="{FF2B5EF4-FFF2-40B4-BE49-F238E27FC236}">
                <a16:creationId xmlns:a16="http://schemas.microsoft.com/office/drawing/2014/main" id="{00000000-0008-0000-0000-0000E23D0000}"/>
              </a:ext>
            </a:extLst>
          </xdr:cNvPr>
          <xdr:cNvSpPr>
            <a:spLocks noChangeShapeType="1"/>
          </xdr:cNvSpPr>
        </xdr:nvSpPr>
        <xdr:spPr bwMode="auto">
          <a:xfrm flipH="1" flipV="1">
            <a:off x="675" y="719"/>
            <a:ext cx="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5843" name="Line 25">
            <a:extLst>
              <a:ext uri="{FF2B5EF4-FFF2-40B4-BE49-F238E27FC236}">
                <a16:creationId xmlns:a16="http://schemas.microsoft.com/office/drawing/2014/main" id="{00000000-0008-0000-0000-0000E33D0000}"/>
              </a:ext>
            </a:extLst>
          </xdr:cNvPr>
          <xdr:cNvSpPr>
            <a:spLocks noChangeShapeType="1"/>
          </xdr:cNvSpPr>
        </xdr:nvSpPr>
        <xdr:spPr bwMode="auto">
          <a:xfrm>
            <a:off x="700" y="624"/>
            <a:ext cx="0" cy="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44" name="Line 26">
            <a:extLst>
              <a:ext uri="{FF2B5EF4-FFF2-40B4-BE49-F238E27FC236}">
                <a16:creationId xmlns:a16="http://schemas.microsoft.com/office/drawing/2014/main" id="{00000000-0008-0000-0000-0000E43D0000}"/>
              </a:ext>
            </a:extLst>
          </xdr:cNvPr>
          <xdr:cNvSpPr>
            <a:spLocks noChangeShapeType="1"/>
          </xdr:cNvSpPr>
        </xdr:nvSpPr>
        <xdr:spPr bwMode="auto">
          <a:xfrm>
            <a:off x="678" y="624"/>
            <a:ext cx="2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13</xdr:col>
          <xdr:colOff>28575</xdr:colOff>
          <xdr:row>4</xdr:row>
          <xdr:rowOff>114300</xdr:rowOff>
        </xdr:from>
        <xdr:to>
          <xdr:col>14</xdr:col>
          <xdr:colOff>695325</xdr:colOff>
          <xdr:row>4</xdr:row>
          <xdr:rowOff>314325</xdr:rowOff>
        </xdr:to>
        <xdr:sp macro="" textlink="">
          <xdr:nvSpPr>
            <xdr:cNvPr id="1032" name="cboSprache"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66675</xdr:rowOff>
    </xdr:from>
    <xdr:to>
      <xdr:col>3</xdr:col>
      <xdr:colOff>342900</xdr:colOff>
      <xdr:row>0</xdr:row>
      <xdr:rowOff>409575</xdr:rowOff>
    </xdr:to>
    <xdr:pic>
      <xdr:nvPicPr>
        <xdr:cNvPr id="16437" name="Picture 2" descr="LOGO AGRIDEA-quadri-sansbase">
          <a:extLst>
            <a:ext uri="{FF2B5EF4-FFF2-40B4-BE49-F238E27FC236}">
              <a16:creationId xmlns:a16="http://schemas.microsoft.com/office/drawing/2014/main" id="{00000000-0008-0000-0100-000035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6675"/>
          <a:ext cx="1152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85725</xdr:colOff>
      <xdr:row>22</xdr:row>
      <xdr:rowOff>0</xdr:rowOff>
    </xdr:from>
    <xdr:to>
      <xdr:col>16</xdr:col>
      <xdr:colOff>95250</xdr:colOff>
      <xdr:row>31</xdr:row>
      <xdr:rowOff>28575</xdr:rowOff>
    </xdr:to>
    <xdr:sp macro="" textlink="">
      <xdr:nvSpPr>
        <xdr:cNvPr id="16438" name="Line 16">
          <a:extLst>
            <a:ext uri="{FF2B5EF4-FFF2-40B4-BE49-F238E27FC236}">
              <a16:creationId xmlns:a16="http://schemas.microsoft.com/office/drawing/2014/main" id="{00000000-0008-0000-0100-000036400000}"/>
            </a:ext>
          </a:extLst>
        </xdr:cNvPr>
        <xdr:cNvSpPr>
          <a:spLocks noChangeShapeType="1"/>
        </xdr:cNvSpPr>
      </xdr:nvSpPr>
      <xdr:spPr bwMode="auto">
        <a:xfrm flipH="1">
          <a:off x="9372600" y="5915025"/>
          <a:ext cx="9525" cy="1905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31</xdr:row>
      <xdr:rowOff>9525</xdr:rowOff>
    </xdr:from>
    <xdr:to>
      <xdr:col>15</xdr:col>
      <xdr:colOff>19050</xdr:colOff>
      <xdr:row>31</xdr:row>
      <xdr:rowOff>9525</xdr:rowOff>
    </xdr:to>
    <xdr:sp macro="" textlink="">
      <xdr:nvSpPr>
        <xdr:cNvPr id="16439" name="Line 17">
          <a:extLst>
            <a:ext uri="{FF2B5EF4-FFF2-40B4-BE49-F238E27FC236}">
              <a16:creationId xmlns:a16="http://schemas.microsoft.com/office/drawing/2014/main" id="{00000000-0008-0000-0100-000037400000}"/>
            </a:ext>
          </a:extLst>
        </xdr:cNvPr>
        <xdr:cNvSpPr>
          <a:spLocks noChangeShapeType="1"/>
        </xdr:cNvSpPr>
      </xdr:nvSpPr>
      <xdr:spPr bwMode="auto">
        <a:xfrm>
          <a:off x="7343775" y="7800975"/>
          <a:ext cx="13144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28575</xdr:colOff>
          <xdr:row>41</xdr:row>
          <xdr:rowOff>76200</xdr:rowOff>
        </xdr:from>
        <xdr:to>
          <xdr:col>12</xdr:col>
          <xdr:colOff>66675</xdr:colOff>
          <xdr:row>42</xdr:row>
          <xdr:rowOff>66675</xdr:rowOff>
        </xdr:to>
        <xdr:sp macro="" textlink="">
          <xdr:nvSpPr>
            <xdr:cNvPr id="6161" name="Drop Down 17" hidden="1">
              <a:extLst>
                <a:ext uri="{63B3BB69-23CF-44E3-9099-C40C66FF867C}">
                  <a14:compatExt spid="_x0000_s6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57150</xdr:rowOff>
    </xdr:from>
    <xdr:to>
      <xdr:col>2</xdr:col>
      <xdr:colOff>981075</xdr:colOff>
      <xdr:row>0</xdr:row>
      <xdr:rowOff>352425</xdr:rowOff>
    </xdr:to>
    <xdr:pic>
      <xdr:nvPicPr>
        <xdr:cNvPr id="7529" name="Picture 2" descr="LOGO AGRIDEA-quadri-sansbase">
          <a:extLst>
            <a:ext uri="{FF2B5EF4-FFF2-40B4-BE49-F238E27FC236}">
              <a16:creationId xmlns:a16="http://schemas.microsoft.com/office/drawing/2014/main" id="{00000000-0008-0000-0200-000069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57150"/>
          <a:ext cx="10096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76200</xdr:rowOff>
    </xdr:from>
    <xdr:to>
      <xdr:col>3</xdr:col>
      <xdr:colOff>361950</xdr:colOff>
      <xdr:row>0</xdr:row>
      <xdr:rowOff>419100</xdr:rowOff>
    </xdr:to>
    <xdr:pic>
      <xdr:nvPicPr>
        <xdr:cNvPr id="8547" name="Picture 4" descr="LOGO AGRIDEA-quadri-sansbase">
          <a:extLst>
            <a:ext uri="{FF2B5EF4-FFF2-40B4-BE49-F238E27FC236}">
              <a16:creationId xmlns:a16="http://schemas.microsoft.com/office/drawing/2014/main" id="{00000000-0008-0000-0300-000063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1152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0</xdr:row>
      <xdr:rowOff>57150</xdr:rowOff>
    </xdr:from>
    <xdr:to>
      <xdr:col>2</xdr:col>
      <xdr:colOff>1381125</xdr:colOff>
      <xdr:row>0</xdr:row>
      <xdr:rowOff>485775</xdr:rowOff>
    </xdr:to>
    <xdr:pic>
      <xdr:nvPicPr>
        <xdr:cNvPr id="5536" name="Picture 2" descr="LOGO AGRIDEA-quadri-sansbase">
          <a:extLst>
            <a:ext uri="{FF2B5EF4-FFF2-40B4-BE49-F238E27FC236}">
              <a16:creationId xmlns:a16="http://schemas.microsoft.com/office/drawing/2014/main" id="{00000000-0008-0000-0400-0000A0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57150"/>
          <a:ext cx="14382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333375</xdr:colOff>
          <xdr:row>100</xdr:row>
          <xdr:rowOff>114300</xdr:rowOff>
        </xdr:from>
        <xdr:to>
          <xdr:col>5</xdr:col>
          <xdr:colOff>190500</xdr:colOff>
          <xdr:row>100</xdr:row>
          <xdr:rowOff>314325</xdr:rowOff>
        </xdr:to>
        <xdr:sp macro="" textlink="">
          <xdr:nvSpPr>
            <xdr:cNvPr id="5181" name="cboSprache"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74</xdr:row>
          <xdr:rowOff>161925</xdr:rowOff>
        </xdr:from>
        <xdr:to>
          <xdr:col>7</xdr:col>
          <xdr:colOff>333375</xdr:colOff>
          <xdr:row>74</xdr:row>
          <xdr:rowOff>428625</xdr:rowOff>
        </xdr:to>
        <xdr:sp macro="" textlink="">
          <xdr:nvSpPr>
            <xdr:cNvPr id="5186" name="Drop Down 66" hidden="1">
              <a:extLst>
                <a:ext uri="{63B3BB69-23CF-44E3-9099-C40C66FF867C}">
                  <a14:compatExt spid="_x0000_s5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57150</xdr:rowOff>
    </xdr:from>
    <xdr:to>
      <xdr:col>3</xdr:col>
      <xdr:colOff>381000</xdr:colOff>
      <xdr:row>0</xdr:row>
      <xdr:rowOff>400050</xdr:rowOff>
    </xdr:to>
    <xdr:pic>
      <xdr:nvPicPr>
        <xdr:cNvPr id="10595" name="Picture 2" descr="LOGO AGRIDEA-quadri-sansbase">
          <a:extLst>
            <a:ext uri="{FF2B5EF4-FFF2-40B4-BE49-F238E27FC236}">
              <a16:creationId xmlns:a16="http://schemas.microsoft.com/office/drawing/2014/main" id="{00000000-0008-0000-0500-000063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57150"/>
          <a:ext cx="1152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66675</xdr:rowOff>
    </xdr:from>
    <xdr:to>
      <xdr:col>2</xdr:col>
      <xdr:colOff>1114425</xdr:colOff>
      <xdr:row>0</xdr:row>
      <xdr:rowOff>409575</xdr:rowOff>
    </xdr:to>
    <xdr:pic>
      <xdr:nvPicPr>
        <xdr:cNvPr id="11619" name="Picture 2" descr="LOGO AGRIDEA-quadri-sansbase">
          <a:extLst>
            <a:ext uri="{FF2B5EF4-FFF2-40B4-BE49-F238E27FC236}">
              <a16:creationId xmlns:a16="http://schemas.microsoft.com/office/drawing/2014/main" id="{00000000-0008-0000-0600-0000632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1152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0</xdr:row>
      <xdr:rowOff>66675</xdr:rowOff>
    </xdr:from>
    <xdr:to>
      <xdr:col>2</xdr:col>
      <xdr:colOff>1114425</xdr:colOff>
      <xdr:row>0</xdr:row>
      <xdr:rowOff>409575</xdr:rowOff>
    </xdr:to>
    <xdr:pic>
      <xdr:nvPicPr>
        <xdr:cNvPr id="12643" name="Picture 2" descr="LOGO AGRIDEA-quadri-sansbase">
          <a:extLst>
            <a:ext uri="{FF2B5EF4-FFF2-40B4-BE49-F238E27FC236}">
              <a16:creationId xmlns:a16="http://schemas.microsoft.com/office/drawing/2014/main" id="{00000000-0008-0000-0700-0000633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1152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alcul%20des%20contributions%20PA%202011_2010_P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 1"/>
      <sheetName val="PD 2"/>
      <sheetName val="PD 3"/>
      <sheetName val="PD 4"/>
      <sheetName val="M Blatt"/>
      <sheetName val="M Util"/>
      <sheetName val="M Blattwahl"/>
      <sheetName val="M Klick"/>
      <sheetName val="M_D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ysClr val="window" lastClr="FFFFFF"/>
        </a:solidFill>
        <a:ln w="9525">
          <a:solidFill>
            <a:srgbClr val="000000"/>
          </a:solidFill>
          <a:miter lim="800000"/>
          <a:headEnd/>
          <a:tailEnd/>
        </a:ln>
      </a:spPr>
      <a:bodyPr vertOverflow="clip" wrap="square" lIns="27432" tIns="22860" rIns="0" bIns="0" anchor="t" upright="1"/>
      <a:lstStyle>
        <a:defPPr algn="l" rtl="0">
          <a:defRPr sz="900" b="0" i="0" strike="noStrike">
            <a:solidFill>
              <a:sysClr val="windowText" lastClr="000000"/>
            </a:solidFill>
            <a:latin typeface="Times New Roman"/>
            <a:cs typeface="Times New Roman"/>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V191"/>
  <sheetViews>
    <sheetView showGridLines="0" showRowColHeaders="0" showZeros="0" tabSelected="1" zoomScaleNormal="100" workbookViewId="0">
      <selection activeCell="D3" sqref="D3:F3"/>
    </sheetView>
  </sheetViews>
  <sheetFormatPr baseColWidth="10" defaultColWidth="11.42578125" defaultRowHeight="14.1" customHeight="1"/>
  <cols>
    <col min="1" max="1" width="0.85546875" style="184" customWidth="1"/>
    <col min="2" max="2" width="1.5703125" style="184" customWidth="1"/>
    <col min="3" max="3" width="20.5703125" style="184" customWidth="1"/>
    <col min="4" max="4" width="7.85546875" style="184" customWidth="1"/>
    <col min="5" max="5" width="9.42578125" style="184" customWidth="1"/>
    <col min="6" max="6" width="8.42578125" style="184" customWidth="1"/>
    <col min="7" max="7" width="9" style="184" customWidth="1"/>
    <col min="8" max="8" width="16.5703125" style="184" customWidth="1"/>
    <col min="9" max="9" width="10.85546875" style="184" customWidth="1"/>
    <col min="10" max="10" width="2.5703125" style="184" customWidth="1"/>
    <col min="11" max="11" width="11.140625" style="184" customWidth="1"/>
    <col min="12" max="12" width="3.85546875" style="184" customWidth="1"/>
    <col min="13" max="13" width="14.140625" style="184" customWidth="1"/>
    <col min="14" max="14" width="3.42578125" style="184" customWidth="1"/>
    <col min="15" max="15" width="16.5703125" style="184" customWidth="1"/>
    <col min="16" max="16" width="0" style="184" hidden="1" customWidth="1"/>
    <col min="17" max="16384" width="11.42578125" style="184"/>
  </cols>
  <sheetData>
    <row r="1" spans="2:19" ht="42" customHeight="1">
      <c r="B1" s="63"/>
      <c r="C1" s="182"/>
      <c r="D1" s="182"/>
      <c r="E1" s="183" t="str">
        <f>Texte!A73</f>
        <v>Calcul des paiements directs à partir de 2023</v>
      </c>
      <c r="G1" s="182"/>
      <c r="H1" s="182"/>
      <c r="I1" s="182"/>
      <c r="J1" s="182"/>
      <c r="K1" s="182"/>
      <c r="L1" s="182"/>
      <c r="M1" s="182"/>
      <c r="N1" s="182"/>
      <c r="O1" s="1" t="str">
        <f>Texte!A207</f>
        <v>Paiements directs 1</v>
      </c>
      <c r="P1" s="2"/>
      <c r="Q1" s="2"/>
      <c r="R1" s="3"/>
    </row>
    <row r="2" spans="2:19" s="21" customFormat="1" ht="11.1" customHeight="1" thickBot="1">
      <c r="B2" s="185"/>
      <c r="C2" s="185"/>
      <c r="D2" s="185"/>
      <c r="E2" s="185"/>
      <c r="F2" s="185"/>
      <c r="G2" s="185"/>
      <c r="H2" s="185"/>
      <c r="I2" s="185"/>
      <c r="J2" s="185"/>
      <c r="K2" s="185"/>
      <c r="L2" s="185"/>
      <c r="M2" s="185"/>
      <c r="N2" s="185"/>
      <c r="O2" s="4"/>
      <c r="P2" s="2"/>
      <c r="Q2" s="2"/>
      <c r="R2" s="3"/>
    </row>
    <row r="3" spans="2:19" ht="19.5" customHeight="1">
      <c r="B3" s="22" t="str">
        <f>Texte!A178</f>
        <v>Exploitation:</v>
      </c>
      <c r="C3" s="3"/>
      <c r="D3" s="638"/>
      <c r="E3" s="639"/>
      <c r="F3" s="639"/>
      <c r="G3" s="36"/>
      <c r="H3" s="37"/>
      <c r="I3" s="2"/>
      <c r="J3" s="5" t="str">
        <f>Texte!A294</f>
        <v>Variante:</v>
      </c>
      <c r="K3" s="640"/>
      <c r="L3" s="639"/>
      <c r="M3" s="2"/>
      <c r="N3" s="5" t="str">
        <f>Texte!A53</f>
        <v>Année:</v>
      </c>
      <c r="O3" s="165"/>
      <c r="P3" s="2"/>
      <c r="Q3" s="2"/>
      <c r="R3" s="3"/>
    </row>
    <row r="4" spans="2:19" ht="12.75" customHeight="1">
      <c r="B4" s="6"/>
      <c r="C4" s="2"/>
      <c r="D4" s="2"/>
      <c r="E4" s="2"/>
      <c r="F4" s="2"/>
      <c r="G4" s="2"/>
      <c r="H4" s="2"/>
      <c r="I4" s="2"/>
      <c r="J4" s="2"/>
      <c r="K4" s="2"/>
      <c r="L4" s="2"/>
      <c r="M4" s="2"/>
      <c r="N4" s="2"/>
      <c r="O4" s="122"/>
      <c r="P4" s="2"/>
      <c r="Q4" s="2"/>
      <c r="R4" s="3"/>
    </row>
    <row r="5" spans="2:19" ht="29.25" customHeight="1">
      <c r="B5" s="643" t="str">
        <f>Texte!A114</f>
        <v>Contributions au paysage cultivé (CPC, Art. 42 à 49 et Annexe 7 OPD)</v>
      </c>
      <c r="C5" s="643"/>
      <c r="D5" s="643"/>
      <c r="E5" s="643"/>
      <c r="F5" s="643"/>
      <c r="G5" s="643"/>
      <c r="H5" s="643"/>
      <c r="I5" s="643"/>
      <c r="J5" s="643"/>
      <c r="K5" s="643"/>
      <c r="L5" s="643"/>
      <c r="M5" s="162" t="str">
        <f>Texte!A15</f>
        <v>Langue:</v>
      </c>
      <c r="N5" s="17"/>
      <c r="O5" s="118"/>
      <c r="P5" s="2"/>
      <c r="Q5" s="2"/>
      <c r="R5" s="3"/>
    </row>
    <row r="6" spans="2:19" s="186" customFormat="1" ht="21" customHeight="1">
      <c r="B6" s="130" t="str">
        <f>Texte!A117</f>
        <v>Contribution au maintien d’un paysage ouvert*</v>
      </c>
      <c r="C6" s="61"/>
      <c r="D6" s="61"/>
      <c r="E6" s="61"/>
      <c r="F6" s="61"/>
      <c r="G6" s="61"/>
      <c r="H6" s="61"/>
      <c r="I6" s="61"/>
      <c r="J6" s="61"/>
      <c r="K6" s="61"/>
      <c r="L6" s="61"/>
      <c r="M6" s="110"/>
      <c r="N6" s="110"/>
      <c r="O6" s="131"/>
      <c r="P6" s="25"/>
      <c r="Q6" s="15"/>
      <c r="R6" s="15"/>
      <c r="S6" s="16"/>
    </row>
    <row r="7" spans="2:19" s="186" customFormat="1" ht="17.100000000000001" customHeight="1">
      <c r="B7" s="12"/>
      <c r="C7" s="17"/>
      <c r="D7" s="17"/>
      <c r="E7" s="17"/>
      <c r="F7" s="17"/>
      <c r="G7" s="17"/>
      <c r="H7" s="23"/>
      <c r="I7" s="23" t="str">
        <f>Texte!A264</f>
        <v>Taux (Fr.)</v>
      </c>
      <c r="J7" s="23"/>
      <c r="K7" s="277" t="str">
        <f>Texte!A250</f>
        <v>ha</v>
      </c>
      <c r="L7" s="23"/>
      <c r="M7" s="23" t="str">
        <f>Texte!A219</f>
        <v>Part (Fr.)</v>
      </c>
      <c r="N7" s="17"/>
      <c r="O7" s="117"/>
      <c r="P7" s="25"/>
      <c r="Q7" s="15"/>
      <c r="R7" s="15"/>
      <c r="S7" s="16"/>
    </row>
    <row r="8" spans="2:19" s="186" customFormat="1" ht="17.100000000000001" customHeight="1">
      <c r="B8" s="12"/>
      <c r="C8" s="17" t="str">
        <f>Texte!A316</f>
        <v>Zone des collines</v>
      </c>
      <c r="D8" s="17"/>
      <c r="E8" s="17"/>
      <c r="F8" s="17"/>
      <c r="G8" s="17"/>
      <c r="H8" s="23"/>
      <c r="I8" s="132">
        <v>100</v>
      </c>
      <c r="J8" s="23" t="s">
        <v>140</v>
      </c>
      <c r="K8" s="166"/>
      <c r="L8" s="23" t="s">
        <v>141</v>
      </c>
      <c r="M8" s="148">
        <f>+I8*K8</f>
        <v>0</v>
      </c>
      <c r="N8" s="17"/>
      <c r="O8" s="117"/>
      <c r="P8" s="25"/>
      <c r="Q8" s="15"/>
      <c r="R8" s="15"/>
      <c r="S8" s="16"/>
    </row>
    <row r="9" spans="2:19" s="186" customFormat="1" ht="17.100000000000001" customHeight="1">
      <c r="B9" s="12"/>
      <c r="C9" s="17" t="str">
        <f>Texte!A317</f>
        <v>Zone montagne 1</v>
      </c>
      <c r="D9" s="17"/>
      <c r="E9" s="17"/>
      <c r="F9" s="17"/>
      <c r="G9" s="17"/>
      <c r="H9" s="23"/>
      <c r="I9" s="132">
        <v>230</v>
      </c>
      <c r="J9" s="23" t="s">
        <v>140</v>
      </c>
      <c r="K9" s="166"/>
      <c r="L9" s="23" t="s">
        <v>141</v>
      </c>
      <c r="M9" s="148">
        <f>+I9*K9</f>
        <v>0</v>
      </c>
      <c r="N9" s="17"/>
      <c r="O9" s="117"/>
      <c r="P9" s="25"/>
      <c r="Q9" s="15"/>
      <c r="R9" s="15"/>
      <c r="S9" s="16"/>
    </row>
    <row r="10" spans="2:19" s="186" customFormat="1" ht="17.100000000000001" customHeight="1">
      <c r="B10" s="12"/>
      <c r="C10" s="17" t="str">
        <f>Texte!A318</f>
        <v>Zone montagne 2</v>
      </c>
      <c r="D10" s="17"/>
      <c r="E10" s="17"/>
      <c r="F10" s="17"/>
      <c r="G10" s="17"/>
      <c r="H10" s="23"/>
      <c r="I10" s="132">
        <v>320</v>
      </c>
      <c r="J10" s="23" t="s">
        <v>140</v>
      </c>
      <c r="K10" s="166"/>
      <c r="L10" s="23" t="s">
        <v>141</v>
      </c>
      <c r="M10" s="148">
        <f>+I10*K10</f>
        <v>0</v>
      </c>
      <c r="N10" s="17"/>
      <c r="O10" s="117"/>
      <c r="P10" s="25"/>
      <c r="Q10" s="15"/>
      <c r="R10" s="15"/>
      <c r="S10" s="16"/>
    </row>
    <row r="11" spans="2:19" s="186" customFormat="1" ht="17.100000000000001" customHeight="1">
      <c r="B11" s="12"/>
      <c r="C11" s="17" t="str">
        <f>Texte!A319</f>
        <v>Zone montagne 3</v>
      </c>
      <c r="D11" s="17"/>
      <c r="E11" s="17"/>
      <c r="F11" s="17"/>
      <c r="G11" s="17"/>
      <c r="H11" s="23"/>
      <c r="I11" s="132">
        <v>380</v>
      </c>
      <c r="J11" s="23" t="s">
        <v>140</v>
      </c>
      <c r="K11" s="166"/>
      <c r="L11" s="23" t="s">
        <v>141</v>
      </c>
      <c r="M11" s="148">
        <f>+I11*K11</f>
        <v>0</v>
      </c>
      <c r="N11" s="17"/>
      <c r="O11" s="117"/>
      <c r="P11" s="25"/>
      <c r="Q11" s="15"/>
      <c r="R11" s="15"/>
      <c r="S11" s="16"/>
    </row>
    <row r="12" spans="2:19" s="186" customFormat="1" ht="17.100000000000001" customHeight="1">
      <c r="B12" s="12"/>
      <c r="C12" s="17" t="str">
        <f>Texte!A320</f>
        <v>Zone montagne 4</v>
      </c>
      <c r="D12" s="17"/>
      <c r="E12" s="17"/>
      <c r="F12" s="17"/>
      <c r="G12" s="17"/>
      <c r="H12" s="23"/>
      <c r="I12" s="132">
        <v>390</v>
      </c>
      <c r="J12" s="23" t="s">
        <v>140</v>
      </c>
      <c r="K12" s="166"/>
      <c r="L12" s="23" t="s">
        <v>141</v>
      </c>
      <c r="M12" s="148">
        <f>+I12*K12</f>
        <v>0</v>
      </c>
      <c r="N12" s="17"/>
      <c r="O12" s="117"/>
      <c r="P12" s="25"/>
      <c r="Q12" s="15"/>
      <c r="R12" s="15"/>
      <c r="S12" s="16"/>
    </row>
    <row r="13" spans="2:19" s="186" customFormat="1" ht="12.6" customHeight="1">
      <c r="B13" s="12"/>
      <c r="C13" s="17"/>
      <c r="D13" s="17"/>
      <c r="E13" s="17"/>
      <c r="F13" s="17"/>
      <c r="G13" s="17"/>
      <c r="H13" s="23"/>
      <c r="I13" s="133"/>
      <c r="J13" s="23"/>
      <c r="K13" s="133"/>
      <c r="L13" s="23"/>
      <c r="M13" s="134"/>
      <c r="N13" s="17"/>
      <c r="O13" s="117"/>
      <c r="P13" s="35"/>
      <c r="Q13" s="15"/>
      <c r="R13" s="15"/>
      <c r="S13" s="16"/>
    </row>
    <row r="14" spans="2:19" ht="12.6" customHeight="1">
      <c r="B14" s="12"/>
      <c r="C14" s="433" t="str">
        <f>Texte!A118</f>
        <v xml:space="preserve"> *SAU donnant droit aux contr. (voir déf. dans feuille "Transition"), sans haies, bosquets et berges boisées</v>
      </c>
      <c r="D14" s="54"/>
      <c r="E14" s="47"/>
      <c r="F14" s="54"/>
      <c r="G14" s="47"/>
      <c r="H14" s="11"/>
      <c r="I14" s="47"/>
      <c r="J14" s="11"/>
      <c r="K14" s="47"/>
      <c r="L14" s="17"/>
      <c r="M14" s="50" t="str">
        <f>Texte!A252</f>
        <v>Somme contributions</v>
      </c>
      <c r="N14" s="23"/>
      <c r="O14" s="187"/>
      <c r="P14" s="11"/>
      <c r="R14" s="3"/>
    </row>
    <row r="15" spans="2:19" ht="17.100000000000001" customHeight="1">
      <c r="B15" s="135"/>
      <c r="C15" s="114"/>
      <c r="D15" s="51"/>
      <c r="E15" s="51"/>
      <c r="F15" s="51"/>
      <c r="G15" s="47"/>
      <c r="H15" s="51"/>
      <c r="I15" s="134"/>
      <c r="J15" s="113"/>
      <c r="K15" s="115"/>
      <c r="L15" s="17"/>
      <c r="M15" s="115"/>
      <c r="N15" s="23" t="s">
        <v>141</v>
      </c>
      <c r="O15" s="52">
        <f>SUM(M8:M12)</f>
        <v>0</v>
      </c>
      <c r="P15" s="11"/>
      <c r="R15" s="3"/>
    </row>
    <row r="16" spans="2:19" s="188" customFormat="1" ht="22.5" customHeight="1">
      <c r="B16" s="342" t="str">
        <f>Texte!A162</f>
        <v>Contribution pour surfaces en pente*</v>
      </c>
      <c r="C16" s="92"/>
      <c r="D16" s="92"/>
      <c r="F16" s="92"/>
      <c r="G16" s="92"/>
      <c r="H16" s="306"/>
      <c r="I16" s="104"/>
      <c r="J16" s="104"/>
      <c r="K16" s="56"/>
      <c r="L16" s="55"/>
      <c r="M16" s="56"/>
      <c r="N16" s="56"/>
      <c r="O16" s="138"/>
      <c r="P16" s="42"/>
      <c r="Q16" s="42"/>
      <c r="R16" s="41"/>
    </row>
    <row r="17" spans="2:22" s="188" customFormat="1" ht="22.5" customHeight="1">
      <c r="B17" s="342"/>
      <c r="C17" s="343" t="str">
        <f>Texte!A163</f>
        <v>(Les prairies permanentes doivent être fauchées au moins une fois par année)</v>
      </c>
      <c r="D17" s="92"/>
      <c r="E17" s="55"/>
      <c r="F17" s="92"/>
      <c r="G17" s="92"/>
      <c r="H17" s="306"/>
      <c r="I17" s="104"/>
      <c r="J17" s="104"/>
      <c r="K17" s="56"/>
      <c r="L17" s="55"/>
      <c r="M17" s="56"/>
      <c r="N17" s="56"/>
      <c r="O17" s="138"/>
      <c r="P17" s="42"/>
      <c r="Q17" s="42"/>
      <c r="R17" s="41"/>
    </row>
    <row r="18" spans="2:22" s="189" customFormat="1" ht="17.100000000000001" customHeight="1">
      <c r="B18" s="12"/>
      <c r="C18" s="48" t="str">
        <f>Texte!A48</f>
        <v>18 - 35 % déclivité</v>
      </c>
      <c r="D18" s="17"/>
      <c r="E18" s="17"/>
      <c r="F18" s="17"/>
      <c r="G18" s="38"/>
      <c r="I18" s="39">
        <v>410</v>
      </c>
      <c r="J18" s="23" t="s">
        <v>140</v>
      </c>
      <c r="K18" s="139"/>
      <c r="L18" s="23" t="s">
        <v>141</v>
      </c>
      <c r="M18" s="39">
        <f>I18*K18</f>
        <v>0</v>
      </c>
      <c r="N18" s="23"/>
      <c r="O18" s="117"/>
      <c r="P18" s="43"/>
      <c r="Q18" s="43"/>
      <c r="R18" s="44"/>
    </row>
    <row r="19" spans="2:22" s="189" customFormat="1" ht="17.100000000000001" customHeight="1">
      <c r="B19" s="73"/>
      <c r="C19" s="48" t="str">
        <f>Texte!A43</f>
        <v>&gt; 35 - 50 % déclivité</v>
      </c>
      <c r="D19" s="17"/>
      <c r="E19" s="17"/>
      <c r="F19" s="17"/>
      <c r="G19" s="17"/>
      <c r="I19" s="39">
        <v>700</v>
      </c>
      <c r="J19" s="23" t="s">
        <v>140</v>
      </c>
      <c r="K19" s="139"/>
      <c r="L19" s="23" t="s">
        <v>141</v>
      </c>
      <c r="M19" s="39">
        <f>I19*K19</f>
        <v>0</v>
      </c>
      <c r="N19" s="23"/>
      <c r="O19" s="117"/>
      <c r="P19" s="43"/>
      <c r="Q19" s="43"/>
      <c r="R19" s="44"/>
    </row>
    <row r="20" spans="2:22" s="189" customFormat="1" ht="22.5" customHeight="1">
      <c r="B20" s="73"/>
      <c r="C20" s="307" t="str">
        <f>Texte!A44</f>
        <v>&gt; 50 % déclivité*</v>
      </c>
      <c r="D20" s="143"/>
      <c r="E20" s="143"/>
      <c r="F20" s="143"/>
      <c r="G20" s="143"/>
      <c r="H20" s="309"/>
      <c r="I20" s="526">
        <v>1000</v>
      </c>
      <c r="J20" s="233" t="s">
        <v>140</v>
      </c>
      <c r="K20" s="234">
        <v>0</v>
      </c>
      <c r="L20" s="233" t="s">
        <v>141</v>
      </c>
      <c r="M20" s="232">
        <f>I20*K20</f>
        <v>0</v>
      </c>
      <c r="O20" s="117"/>
      <c r="P20" s="43"/>
      <c r="Q20" s="43"/>
      <c r="R20" s="44"/>
    </row>
    <row r="21" spans="2:22" s="186" customFormat="1" ht="12.6" customHeight="1">
      <c r="B21" s="12"/>
      <c r="C21" s="17"/>
      <c r="D21" s="17"/>
      <c r="E21" s="17"/>
      <c r="F21" s="17"/>
      <c r="G21" s="17"/>
      <c r="H21" s="23"/>
      <c r="I21" s="133"/>
      <c r="J21" s="23"/>
      <c r="K21" s="133"/>
      <c r="L21" s="23"/>
      <c r="M21" s="134"/>
      <c r="N21" s="17"/>
      <c r="O21" s="117"/>
      <c r="P21" s="35"/>
      <c r="Q21" s="15"/>
      <c r="R21" s="15"/>
      <c r="S21" s="16"/>
    </row>
    <row r="22" spans="2:22" ht="20.100000000000001" customHeight="1">
      <c r="B22" s="12"/>
      <c r="C22" s="642" t="str">
        <f>Texte!A417</f>
        <v>*Niveau de déclivité &gt; 50% et contributions pour les terrains en pente en zone de plaine entrent en vigueur en 2017 seulement</v>
      </c>
      <c r="D22" s="642"/>
      <c r="E22" s="642"/>
      <c r="F22" s="642"/>
      <c r="G22" s="642"/>
      <c r="H22" s="642"/>
      <c r="I22" s="47"/>
      <c r="J22" s="11"/>
      <c r="K22" s="47"/>
      <c r="L22" s="17"/>
      <c r="M22" s="50" t="str">
        <f>Texte!A252</f>
        <v>Somme contributions</v>
      </c>
      <c r="N22" s="23"/>
      <c r="O22" s="187"/>
      <c r="P22" s="11"/>
      <c r="R22" s="3"/>
    </row>
    <row r="23" spans="2:22" ht="20.100000000000001" customHeight="1">
      <c r="B23" s="135"/>
      <c r="C23" s="642"/>
      <c r="D23" s="642"/>
      <c r="E23" s="642"/>
      <c r="F23" s="642"/>
      <c r="G23" s="642"/>
      <c r="H23" s="642"/>
      <c r="I23" s="134"/>
      <c r="J23" s="113"/>
      <c r="K23" s="115"/>
      <c r="L23" s="17"/>
      <c r="M23" s="115"/>
      <c r="N23" s="23" t="s">
        <v>141</v>
      </c>
      <c r="O23" s="52">
        <f>SUM(M18:M20)</f>
        <v>0</v>
      </c>
      <c r="P23" s="11"/>
      <c r="R23" s="3"/>
    </row>
    <row r="24" spans="2:22" s="188" customFormat="1" ht="22.5" customHeight="1">
      <c r="B24" s="136" t="str">
        <f>Texte!A164</f>
        <v>Contributions pour surfaces en forte pente</v>
      </c>
      <c r="C24" s="92"/>
      <c r="D24" s="92"/>
      <c r="E24" s="92"/>
      <c r="F24" s="92"/>
      <c r="G24" s="92"/>
      <c r="H24" s="306"/>
      <c r="I24" s="104"/>
      <c r="J24" s="104"/>
      <c r="K24" s="56"/>
      <c r="L24" s="55"/>
      <c r="M24" s="56"/>
      <c r="N24" s="56"/>
      <c r="O24" s="138"/>
      <c r="P24" s="42"/>
      <c r="Q24" s="42"/>
      <c r="R24" s="41"/>
    </row>
    <row r="25" spans="2:22" s="188" customFormat="1" ht="22.5" customHeight="1">
      <c r="B25" s="136"/>
      <c r="C25" s="644" t="str">
        <f>Texte!A418</f>
        <v>Surface donnant droit aux contributions &gt; 35% de pente*</v>
      </c>
      <c r="D25" s="644"/>
      <c r="E25" s="644"/>
      <c r="F25" s="644"/>
      <c r="G25" s="644"/>
      <c r="H25" s="644"/>
      <c r="I25" s="286" t="s">
        <v>607</v>
      </c>
      <c r="J25" s="104"/>
      <c r="K25" s="319">
        <f>K19+K20</f>
        <v>0</v>
      </c>
      <c r="L25" s="55"/>
      <c r="M25" s="56"/>
      <c r="N25" s="56"/>
      <c r="O25" s="138"/>
      <c r="P25" s="42"/>
      <c r="Q25" s="42"/>
      <c r="R25" s="41"/>
    </row>
    <row r="26" spans="2:22" s="188" customFormat="1" ht="17.100000000000001" customHeight="1">
      <c r="B26" s="136"/>
      <c r="C26" s="644" t="str">
        <f>Texte!A419</f>
        <v>SAU donnant droit aux contributions (voir définition dans la feuille "Transition")</v>
      </c>
      <c r="D26" s="644"/>
      <c r="E26" s="644"/>
      <c r="F26" s="644"/>
      <c r="G26" s="644"/>
      <c r="H26" s="644"/>
      <c r="I26" s="286" t="s">
        <v>608</v>
      </c>
      <c r="J26" s="104"/>
      <c r="K26" s="139"/>
      <c r="L26" s="55"/>
      <c r="M26" s="56"/>
      <c r="N26" s="56"/>
      <c r="O26" s="138"/>
      <c r="P26" s="42"/>
      <c r="Q26" s="42"/>
      <c r="R26" s="41"/>
    </row>
    <row r="27" spans="2:22" s="189" customFormat="1" ht="16.5" customHeight="1">
      <c r="B27" s="73"/>
      <c r="C27" s="634" t="str">
        <f>Texte!A421</f>
        <v>Part des surfaces en forte pente en % de la surface donnant droit aux contributions</v>
      </c>
      <c r="D27" s="634"/>
      <c r="E27" s="634"/>
      <c r="F27" s="634"/>
      <c r="G27" s="634"/>
      <c r="H27" s="634"/>
      <c r="I27" s="434" t="s">
        <v>609</v>
      </c>
      <c r="J27" s="143"/>
      <c r="K27" s="436">
        <f>IF(K26=0,0,(K19+K20)/K26)</f>
        <v>0</v>
      </c>
      <c r="L27" s="233"/>
      <c r="N27" s="23"/>
      <c r="O27" s="138"/>
      <c r="P27" s="43"/>
      <c r="Q27" s="43"/>
      <c r="R27" s="56"/>
    </row>
    <row r="28" spans="2:22" s="189" customFormat="1" ht="16.5" customHeight="1">
      <c r="B28" s="73"/>
      <c r="C28" s="634" t="str">
        <f>Texte!A422</f>
        <v>Part de surfaces en forte pente au-delà de 30%</v>
      </c>
      <c r="D28" s="634"/>
      <c r="E28" s="634"/>
      <c r="F28" s="634"/>
      <c r="G28" s="634"/>
      <c r="H28" s="634"/>
      <c r="I28" s="435" t="s">
        <v>611</v>
      </c>
      <c r="J28" s="143"/>
      <c r="K28" s="436">
        <f>IF(K27=0,0,(IF(K27&lt;0.3,0,(K27-0.3))))</f>
        <v>0</v>
      </c>
      <c r="L28" s="233"/>
      <c r="M28" s="293"/>
      <c r="N28" s="23"/>
      <c r="O28" s="635"/>
      <c r="P28" s="43"/>
      <c r="Q28" s="43"/>
      <c r="R28" s="44"/>
    </row>
    <row r="29" spans="2:22" s="189" customFormat="1" ht="30" customHeight="1">
      <c r="B29" s="73"/>
      <c r="C29" s="634" t="str">
        <f>Texte!A423</f>
        <v>Progression linéaire de la contribution à partir de 30% de surfaces en forte pente: Fr. 100.- + d (en %) x 900/70 (Fr. 1'000 - Fr. 100)/(100% - 30%)</v>
      </c>
      <c r="D29" s="634"/>
      <c r="E29" s="634"/>
      <c r="F29" s="634"/>
      <c r="G29" s="634"/>
      <c r="H29" s="634"/>
      <c r="I29" s="232">
        <f>IF(K27&lt;0.3,0,(IF(K27&gt;1,1000,100+100*(K27-0.3)*900/70)))</f>
        <v>0</v>
      </c>
      <c r="J29" s="233" t="s">
        <v>140</v>
      </c>
      <c r="K29" s="319">
        <f>K25</f>
        <v>0</v>
      </c>
      <c r="L29" s="233" t="s">
        <v>141</v>
      </c>
      <c r="M29" s="232">
        <f>I29*K29</f>
        <v>0</v>
      </c>
      <c r="N29" s="23"/>
      <c r="O29" s="635"/>
      <c r="P29" s="43"/>
      <c r="Q29" s="634"/>
      <c r="R29" s="634"/>
      <c r="S29" s="634"/>
      <c r="T29" s="634"/>
      <c r="U29" s="634"/>
      <c r="V29" s="634"/>
    </row>
    <row r="30" spans="2:22" ht="12.6" customHeight="1">
      <c r="B30" s="73"/>
      <c r="C30" s="17"/>
      <c r="D30" s="17"/>
      <c r="E30" s="17"/>
      <c r="F30" s="17"/>
      <c r="G30" s="17"/>
      <c r="H30" s="38"/>
      <c r="I30" s="40"/>
      <c r="J30" s="17"/>
      <c r="K30" s="47"/>
      <c r="L30" s="23"/>
      <c r="M30" s="40"/>
      <c r="N30" s="23"/>
      <c r="O30" s="635"/>
      <c r="P30" s="43"/>
      <c r="Q30" s="43"/>
      <c r="R30" s="3"/>
    </row>
    <row r="31" spans="2:22" ht="25.5" customHeight="1">
      <c r="B31" s="12"/>
      <c r="C31" s="642" t="str">
        <f>Texte!A420</f>
        <v>* Toutes les surfaces, donnant droit aux contributions pour surfaces en pente, avec plus de 35% de pente</v>
      </c>
      <c r="D31" s="642"/>
      <c r="E31" s="642"/>
      <c r="F31" s="642"/>
      <c r="G31" s="642"/>
      <c r="H31" s="642"/>
      <c r="I31" s="47"/>
      <c r="J31" s="11"/>
      <c r="K31" s="47"/>
      <c r="L31" s="17"/>
      <c r="M31" s="50" t="str">
        <f>Texte!A252</f>
        <v>Somme contributions</v>
      </c>
      <c r="N31" s="23"/>
      <c r="O31" s="635"/>
      <c r="P31" s="11"/>
      <c r="R31" s="3"/>
    </row>
    <row r="32" spans="2:22" ht="20.100000000000001" customHeight="1">
      <c r="B32" s="135"/>
      <c r="C32" s="642"/>
      <c r="D32" s="642"/>
      <c r="E32" s="642"/>
      <c r="F32" s="642"/>
      <c r="G32" s="642"/>
      <c r="H32" s="642"/>
      <c r="I32" s="134"/>
      <c r="J32" s="113"/>
      <c r="K32" s="115"/>
      <c r="L32" s="17"/>
      <c r="M32" s="116"/>
      <c r="N32" s="23" t="s">
        <v>141</v>
      </c>
      <c r="O32" s="52">
        <f>SUM(M28:M29)</f>
        <v>0</v>
      </c>
      <c r="P32" s="11"/>
      <c r="R32" s="3"/>
    </row>
    <row r="33" spans="2:18" ht="6.75" customHeight="1">
      <c r="B33" s="135"/>
      <c r="C33" s="642"/>
      <c r="D33" s="642"/>
      <c r="E33" s="642"/>
      <c r="F33" s="642"/>
      <c r="G33" s="642"/>
      <c r="H33" s="642"/>
      <c r="I33" s="134"/>
      <c r="J33" s="113"/>
      <c r="K33" s="115"/>
      <c r="L33" s="17"/>
      <c r="M33" s="116"/>
      <c r="N33" s="23"/>
      <c r="O33" s="117"/>
      <c r="P33" s="11"/>
      <c r="R33" s="3"/>
    </row>
    <row r="34" spans="2:18" s="186" customFormat="1" ht="7.5" customHeight="1">
      <c r="B34" s="135"/>
      <c r="C34" s="310"/>
      <c r="D34" s="310"/>
      <c r="E34" s="310"/>
      <c r="F34" s="310"/>
      <c r="G34" s="310"/>
      <c r="H34" s="310"/>
      <c r="I34" s="134"/>
      <c r="J34" s="113"/>
      <c r="K34" s="115"/>
      <c r="L34" s="17"/>
      <c r="M34" s="116"/>
      <c r="N34" s="23"/>
      <c r="O34" s="117"/>
      <c r="P34" s="11"/>
      <c r="Q34" s="184"/>
      <c r="R34" s="16"/>
    </row>
    <row r="35" spans="2:18" s="186" customFormat="1" ht="17.100000000000001" customHeight="1">
      <c r="B35" s="9" t="str">
        <f>Texte!A161</f>
        <v>Contribution pour les surfaces viticoles en pente</v>
      </c>
      <c r="C35" s="10"/>
      <c r="D35" s="10"/>
      <c r="E35" s="10"/>
      <c r="F35" s="10"/>
      <c r="G35" s="10"/>
      <c r="H35" s="16"/>
      <c r="I35" s="19"/>
      <c r="J35" s="11"/>
      <c r="K35" s="40"/>
      <c r="L35" s="17"/>
      <c r="M35" s="40"/>
      <c r="N35" s="17"/>
      <c r="O35" s="140"/>
      <c r="P35" s="15"/>
      <c r="Q35" s="15"/>
      <c r="R35" s="16"/>
    </row>
    <row r="36" spans="2:18" s="186" customFormat="1" ht="17.100000000000001" customHeight="1">
      <c r="B36" s="73"/>
      <c r="C36" s="48" t="str">
        <f>Texte!A49</f>
        <v>30 - 50 % déclivité</v>
      </c>
      <c r="D36" s="17"/>
      <c r="E36" s="17"/>
      <c r="F36" s="17"/>
      <c r="G36" s="17"/>
      <c r="I36" s="39">
        <v>1500</v>
      </c>
      <c r="J36" s="23" t="s">
        <v>140</v>
      </c>
      <c r="K36" s="139"/>
      <c r="L36" s="23" t="s">
        <v>141</v>
      </c>
      <c r="M36" s="39">
        <f>I36*K36</f>
        <v>0</v>
      </c>
      <c r="N36" s="17"/>
      <c r="O36" s="140"/>
      <c r="P36" s="15"/>
      <c r="Q36" s="15"/>
      <c r="R36" s="16"/>
    </row>
    <row r="37" spans="2:18" s="186" customFormat="1" ht="17.100000000000001" customHeight="1">
      <c r="B37" s="73"/>
      <c r="C37" s="48" t="str">
        <f>Texte!A424</f>
        <v>&gt; 50 % déclivité</v>
      </c>
      <c r="D37" s="17"/>
      <c r="E37" s="17"/>
      <c r="F37" s="17"/>
      <c r="G37" s="17"/>
      <c r="I37" s="39">
        <v>3000</v>
      </c>
      <c r="J37" s="23" t="s">
        <v>140</v>
      </c>
      <c r="K37" s="139"/>
      <c r="L37" s="23" t="s">
        <v>141</v>
      </c>
      <c r="M37" s="39">
        <f>I37*K37</f>
        <v>0</v>
      </c>
      <c r="N37" s="17"/>
      <c r="O37" s="140"/>
      <c r="P37" s="15"/>
      <c r="Q37" s="15"/>
      <c r="R37" s="16"/>
    </row>
    <row r="38" spans="2:18" s="186" customFormat="1" ht="17.100000000000001" customHeight="1">
      <c r="B38" s="73"/>
      <c r="C38" s="48" t="str">
        <f>Texte!A42</f>
        <v>&gt; 30 % déclivité en terrasses</v>
      </c>
      <c r="D38" s="17"/>
      <c r="E38" s="17"/>
      <c r="F38" s="17"/>
      <c r="G38" s="17"/>
      <c r="I38" s="39">
        <v>5000</v>
      </c>
      <c r="J38" s="23" t="s">
        <v>140</v>
      </c>
      <c r="K38" s="139"/>
      <c r="L38" s="23" t="s">
        <v>141</v>
      </c>
      <c r="M38" s="39">
        <f>I38*K38</f>
        <v>0</v>
      </c>
      <c r="N38" s="17"/>
      <c r="O38" s="140"/>
      <c r="P38" s="15"/>
      <c r="Q38" s="15"/>
      <c r="R38" s="16"/>
    </row>
    <row r="39" spans="2:18" ht="12.6" customHeight="1">
      <c r="B39" s="73"/>
      <c r="C39" s="17"/>
      <c r="D39" s="17"/>
      <c r="E39" s="17"/>
      <c r="F39" s="17"/>
      <c r="G39" s="17"/>
      <c r="H39" s="38"/>
      <c r="I39" s="40"/>
      <c r="J39" s="17"/>
      <c r="K39" s="47"/>
      <c r="L39" s="23"/>
      <c r="M39" s="40"/>
      <c r="N39" s="17"/>
      <c r="O39" s="140"/>
      <c r="P39" s="15"/>
      <c r="Q39" s="15"/>
      <c r="R39" s="3"/>
    </row>
    <row r="40" spans="2:18" ht="17.100000000000001" customHeight="1">
      <c r="B40" s="12"/>
      <c r="C40" s="47"/>
      <c r="D40" s="54"/>
      <c r="E40" s="47"/>
      <c r="F40" s="54"/>
      <c r="G40" s="47"/>
      <c r="H40" s="11"/>
      <c r="I40" s="47"/>
      <c r="J40" s="11"/>
      <c r="K40" s="47"/>
      <c r="L40" s="17"/>
      <c r="M40" s="50" t="str">
        <f>Texte!A252</f>
        <v>Somme contributions</v>
      </c>
      <c r="N40" s="17"/>
      <c r="O40" s="187"/>
      <c r="P40" s="11"/>
      <c r="R40" s="3"/>
    </row>
    <row r="41" spans="2:18" ht="17.100000000000001" customHeight="1">
      <c r="B41" s="135"/>
      <c r="C41" s="114"/>
      <c r="D41" s="51"/>
      <c r="E41" s="51"/>
      <c r="F41" s="51"/>
      <c r="G41" s="47"/>
      <c r="H41" s="51"/>
      <c r="I41" s="134"/>
      <c r="J41" s="113"/>
      <c r="K41" s="115"/>
      <c r="L41" s="17"/>
      <c r="M41" s="116"/>
      <c r="N41" s="23" t="s">
        <v>141</v>
      </c>
      <c r="O41" s="52">
        <f>SUM(M36:M38)</f>
        <v>0</v>
      </c>
      <c r="P41" s="11"/>
      <c r="R41" s="3"/>
    </row>
    <row r="42" spans="2:18" ht="8.25" customHeight="1">
      <c r="B42" s="135"/>
      <c r="C42" s="114"/>
      <c r="D42" s="51"/>
      <c r="E42" s="51"/>
      <c r="F42" s="51"/>
      <c r="G42" s="47"/>
      <c r="H42" s="51"/>
      <c r="I42" s="134"/>
      <c r="J42" s="113"/>
      <c r="K42" s="115"/>
      <c r="L42" s="17"/>
      <c r="M42" s="116"/>
      <c r="N42" s="23"/>
      <c r="O42" s="117"/>
      <c r="P42" s="11"/>
      <c r="R42" s="3"/>
    </row>
    <row r="43" spans="2:18" ht="17.100000000000001" customHeight="1">
      <c r="B43" s="9" t="str">
        <f>Texte!A329</f>
        <v>Contribution d'alpage (pour l'exploitation à l'année)</v>
      </c>
      <c r="D43" s="51"/>
      <c r="E43" s="51"/>
      <c r="F43" s="51"/>
      <c r="G43" s="47"/>
      <c r="H43" s="51"/>
      <c r="I43" s="134"/>
      <c r="J43" s="113"/>
      <c r="K43" s="115"/>
      <c r="L43" s="17"/>
      <c r="M43" s="116"/>
      <c r="N43" s="23"/>
      <c r="O43" s="248"/>
      <c r="P43" s="11"/>
      <c r="R43" s="3"/>
    </row>
    <row r="44" spans="2:18" ht="17.100000000000001" customHeight="1">
      <c r="B44" s="9"/>
      <c r="D44" s="51"/>
      <c r="E44" s="51"/>
      <c r="F44" s="51"/>
      <c r="G44" s="47"/>
      <c r="H44" s="51"/>
      <c r="I44" s="134"/>
      <c r="K44" s="141" t="str">
        <f>Texte!A222</f>
        <v>PN***</v>
      </c>
      <c r="L44" s="285"/>
      <c r="M44" s="142" t="str">
        <f>Texte!A193</f>
        <v>Montant Fr./PN</v>
      </c>
      <c r="N44" s="11"/>
      <c r="O44" s="190" t="str">
        <f>Texte!A271</f>
        <v>Total</v>
      </c>
      <c r="P44" s="11"/>
      <c r="R44" s="3"/>
    </row>
    <row r="45" spans="2:18" ht="17.100000000000001" customHeight="1">
      <c r="B45" s="145"/>
      <c r="C45" s="184" t="str">
        <f>Texte!A330</f>
        <v>Animaux consommant du fourrage grossier mis en estivage</v>
      </c>
      <c r="D45" s="51"/>
      <c r="E45" s="51"/>
      <c r="F45" s="51"/>
      <c r="G45" s="47"/>
      <c r="H45" s="51"/>
      <c r="I45" s="19"/>
      <c r="J45" s="11"/>
      <c r="K45" s="139"/>
      <c r="L45" s="233" t="s">
        <v>140</v>
      </c>
      <c r="M45" s="39">
        <v>370</v>
      </c>
      <c r="N45" s="54" t="s">
        <v>141</v>
      </c>
      <c r="O45" s="52">
        <f>K45*M45</f>
        <v>0</v>
      </c>
      <c r="P45" s="11"/>
      <c r="R45" s="3"/>
    </row>
    <row r="46" spans="2:18" ht="6" customHeight="1">
      <c r="B46" s="145"/>
      <c r="D46" s="51"/>
      <c r="E46" s="51"/>
      <c r="F46" s="51"/>
      <c r="G46" s="47"/>
      <c r="H46" s="51"/>
      <c r="I46" s="19"/>
      <c r="J46" s="11"/>
      <c r="K46" s="47"/>
      <c r="L46" s="143"/>
      <c r="M46" s="40"/>
      <c r="N46" s="54"/>
      <c r="O46" s="117"/>
      <c r="P46" s="11"/>
      <c r="R46" s="3"/>
    </row>
    <row r="47" spans="2:18" ht="12.6" customHeight="1">
      <c r="B47" s="145"/>
      <c r="C47" s="26" t="str">
        <f>Texte!A47</f>
        <v>***PN = pâquier normal = 1 UGBFG estivée pendant 100 jours</v>
      </c>
      <c r="D47" s="51"/>
      <c r="E47" s="51"/>
      <c r="F47" s="51"/>
      <c r="G47" s="47"/>
      <c r="H47" s="51"/>
      <c r="I47" s="19"/>
      <c r="J47" s="11"/>
      <c r="K47" s="47"/>
      <c r="L47" s="143"/>
      <c r="M47" s="40"/>
      <c r="N47" s="54"/>
      <c r="O47" s="117"/>
      <c r="P47" s="11"/>
      <c r="R47" s="3"/>
    </row>
    <row r="48" spans="2:18" ht="17.100000000000001" customHeight="1">
      <c r="B48" s="145"/>
      <c r="D48" s="51"/>
      <c r="E48" s="51"/>
      <c r="F48" s="51"/>
      <c r="G48" s="47"/>
      <c r="H48" s="51"/>
      <c r="I48" s="19"/>
      <c r="J48" s="11"/>
      <c r="K48" s="19"/>
      <c r="L48" s="143"/>
      <c r="M48" s="40"/>
      <c r="N48" s="54"/>
      <c r="O48" s="248"/>
      <c r="P48" s="11"/>
      <c r="R48" s="3"/>
    </row>
    <row r="49" spans="1:18" ht="17.100000000000001" customHeight="1">
      <c r="B49" s="145" t="str">
        <f>Texte!A254</f>
        <v>Sous-total contributions au paysage cultivé exploitation à l'année</v>
      </c>
      <c r="D49" s="51"/>
      <c r="E49" s="51"/>
      <c r="F49" s="51"/>
      <c r="G49" s="47"/>
      <c r="H49" s="51"/>
      <c r="I49" s="19"/>
      <c r="J49" s="11"/>
      <c r="K49" s="19"/>
      <c r="L49" s="143"/>
      <c r="M49" s="40"/>
      <c r="N49" s="54"/>
      <c r="O49" s="191">
        <f>O15+O23+O32+O41+O45</f>
        <v>0</v>
      </c>
      <c r="P49" s="11"/>
      <c r="R49" s="3"/>
    </row>
    <row r="50" spans="1:18" ht="6" customHeight="1">
      <c r="A50" s="182"/>
      <c r="B50" s="135"/>
      <c r="D50" s="51"/>
      <c r="E50" s="51"/>
      <c r="F50" s="51"/>
      <c r="G50" s="47"/>
      <c r="H50" s="51"/>
      <c r="I50" s="134"/>
      <c r="J50" s="113"/>
      <c r="K50" s="115"/>
      <c r="L50" s="17"/>
      <c r="M50" s="116"/>
      <c r="N50" s="23"/>
      <c r="O50" s="117"/>
      <c r="P50" s="11"/>
      <c r="R50" s="186"/>
    </row>
    <row r="51" spans="1:18" ht="26.25" customHeight="1">
      <c r="A51" s="182"/>
      <c r="B51" s="130" t="str">
        <f>Texte!A160</f>
        <v>Contribution d’estivage</v>
      </c>
      <c r="C51" s="123"/>
      <c r="D51" s="123"/>
      <c r="E51" s="123"/>
      <c r="F51" s="123"/>
      <c r="G51" s="123"/>
      <c r="H51" s="123"/>
      <c r="I51" s="123"/>
      <c r="J51" s="123"/>
      <c r="K51" s="123"/>
      <c r="L51" s="123"/>
      <c r="M51" s="123"/>
      <c r="N51" s="123"/>
      <c r="O51" s="236"/>
      <c r="P51" s="28"/>
      <c r="Q51" s="186"/>
      <c r="R51" s="186"/>
    </row>
    <row r="52" spans="1:18" s="548" customFormat="1" ht="17.100000000000001" customHeight="1">
      <c r="A52" s="543"/>
      <c r="B52" s="544"/>
      <c r="C52" s="545"/>
      <c r="D52" s="541"/>
      <c r="E52" s="541"/>
      <c r="F52" s="541"/>
      <c r="G52" s="541"/>
      <c r="H52" s="541"/>
      <c r="I52" s="541"/>
      <c r="J52" s="541"/>
      <c r="K52" s="541" t="str">
        <f>Texte!A222</f>
        <v>PN***</v>
      </c>
      <c r="L52" s="546"/>
      <c r="M52" s="541" t="str">
        <f>Texte!A193</f>
        <v>Montant Fr./PN</v>
      </c>
      <c r="N52" s="541"/>
      <c r="O52" s="542" t="str">
        <f>Texte!A271</f>
        <v>Total</v>
      </c>
      <c r="P52" s="547"/>
      <c r="R52" s="549"/>
    </row>
    <row r="53" spans="1:18" s="186" customFormat="1" ht="17.100000000000001" customHeight="1">
      <c r="A53" s="182"/>
      <c r="B53" s="73"/>
      <c r="C53" s="17"/>
      <c r="D53" s="17"/>
      <c r="E53" s="17"/>
      <c r="F53" s="17"/>
      <c r="G53" s="17"/>
      <c r="H53" s="17"/>
      <c r="I53" s="17"/>
      <c r="J53" s="17"/>
      <c r="K53" s="541" t="str">
        <f>Texte!A82</f>
        <v>Charge usuelle</v>
      </c>
      <c r="L53" s="17"/>
      <c r="M53" s="17"/>
      <c r="N53" s="17"/>
      <c r="O53" s="72"/>
      <c r="P53" s="13"/>
      <c r="Q53" s="184"/>
      <c r="R53" s="184"/>
    </row>
    <row r="54" spans="1:18" ht="17.100000000000001" customHeight="1">
      <c r="A54" s="182"/>
      <c r="B54" s="73"/>
      <c r="C54" s="17" t="str">
        <f>Texte!A198</f>
        <v>moutons, brebis laitières exceptées:</v>
      </c>
      <c r="D54" s="17"/>
      <c r="E54" s="17"/>
      <c r="F54" s="17"/>
      <c r="G54" s="17"/>
      <c r="H54" s="17"/>
      <c r="I54" s="17"/>
      <c r="J54" s="17"/>
      <c r="K54" s="541"/>
      <c r="L54" s="17"/>
      <c r="M54" s="17"/>
      <c r="N54" s="17"/>
      <c r="O54" s="72"/>
      <c r="P54" s="13"/>
      <c r="R54" s="186"/>
    </row>
    <row r="55" spans="1:18" ht="17.100000000000001" customHeight="1">
      <c r="A55" s="182"/>
      <c r="B55" s="163"/>
      <c r="C55" s="17" t="str">
        <f>Texte!A31</f>
        <v>- surveillance permanente ou pâturage tournant avec mesures de prot. des troupeaux</v>
      </c>
      <c r="D55" s="11"/>
      <c r="E55" s="11"/>
      <c r="F55" s="11"/>
      <c r="G55" s="11"/>
      <c r="H55" s="11"/>
      <c r="I55" s="19"/>
      <c r="J55" s="11"/>
      <c r="K55" s="139"/>
      <c r="L55" s="143" t="s">
        <v>140</v>
      </c>
      <c r="M55" s="39">
        <v>400</v>
      </c>
      <c r="N55" s="54" t="s">
        <v>141</v>
      </c>
      <c r="O55" s="126">
        <f>K55*M55</f>
        <v>0</v>
      </c>
      <c r="P55" s="29"/>
      <c r="Q55" s="186"/>
      <c r="R55" s="186"/>
    </row>
    <row r="56" spans="1:18" ht="17.100000000000001" customHeight="1">
      <c r="A56" s="182"/>
      <c r="B56" s="73"/>
      <c r="C56" s="17" t="str">
        <f>Texte!A29</f>
        <v>- pâturages tournants</v>
      </c>
      <c r="D56" s="11"/>
      <c r="E56" s="11"/>
      <c r="F56" s="11"/>
      <c r="G56" s="11"/>
      <c r="H56" s="11"/>
      <c r="I56" s="19"/>
      <c r="J56" s="11"/>
      <c r="K56" s="139"/>
      <c r="L56" s="143" t="s">
        <v>140</v>
      </c>
      <c r="M56" s="39">
        <v>320</v>
      </c>
      <c r="N56" s="54" t="s">
        <v>141</v>
      </c>
      <c r="O56" s="126">
        <f>K56*M56</f>
        <v>0</v>
      </c>
      <c r="P56" s="29"/>
      <c r="Q56" s="186"/>
      <c r="R56" s="186"/>
    </row>
    <row r="57" spans="1:18" s="186" customFormat="1" ht="17.100000000000001" customHeight="1">
      <c r="A57" s="182"/>
      <c r="B57" s="73"/>
      <c r="C57" s="17" t="str">
        <f>Texte!A20</f>
        <v>- autres pâturages</v>
      </c>
      <c r="D57" s="11"/>
      <c r="E57" s="11"/>
      <c r="F57" s="11"/>
      <c r="G57" s="11"/>
      <c r="H57" s="11"/>
      <c r="I57" s="19"/>
      <c r="J57" s="11"/>
      <c r="K57" s="139"/>
      <c r="L57" s="143" t="s">
        <v>140</v>
      </c>
      <c r="M57" s="39">
        <v>120</v>
      </c>
      <c r="N57" s="54" t="s">
        <v>141</v>
      </c>
      <c r="O57" s="126">
        <f>K57*M57</f>
        <v>0</v>
      </c>
      <c r="P57" s="29"/>
    </row>
    <row r="58" spans="1:18" s="186" customFormat="1" ht="6" customHeight="1">
      <c r="A58" s="182"/>
      <c r="B58" s="73"/>
      <c r="C58" s="17"/>
      <c r="D58" s="11"/>
      <c r="E58" s="104"/>
      <c r="F58" s="104"/>
      <c r="G58" s="104"/>
      <c r="H58" s="104"/>
      <c r="I58" s="286"/>
      <c r="J58" s="104"/>
      <c r="K58" s="47"/>
      <c r="L58" s="99"/>
      <c r="M58" s="88"/>
      <c r="N58" s="113"/>
      <c r="O58" s="144"/>
      <c r="P58" s="29"/>
    </row>
    <row r="59" spans="1:18" s="186" customFormat="1" ht="17.100000000000001" customHeight="1">
      <c r="A59" s="182"/>
      <c r="B59" s="73"/>
      <c r="C59" s="17" t="str">
        <f>Texte!A195</f>
        <v>autres animaux consommant du fourrage grossier (sans bisons ni cerfs)</v>
      </c>
      <c r="D59" s="11"/>
      <c r="E59" s="11"/>
      <c r="F59" s="11"/>
      <c r="G59" s="11"/>
      <c r="H59" s="11"/>
      <c r="I59" s="19"/>
      <c r="J59" s="11"/>
      <c r="K59" s="139"/>
      <c r="L59" s="143" t="s">
        <v>140</v>
      </c>
      <c r="M59" s="39">
        <v>400</v>
      </c>
      <c r="N59" s="54" t="s">
        <v>141</v>
      </c>
      <c r="O59" s="126">
        <f>K59*M59</f>
        <v>0</v>
      </c>
      <c r="P59" s="29"/>
    </row>
    <row r="60" spans="1:18" s="186" customFormat="1" ht="25.5">
      <c r="A60" s="182"/>
      <c r="B60" s="73"/>
      <c r="C60" s="17"/>
      <c r="D60" s="11"/>
      <c r="E60" s="11"/>
      <c r="F60" s="11"/>
      <c r="G60" s="11"/>
      <c r="H60" s="11"/>
      <c r="I60" s="19"/>
      <c r="J60" s="11"/>
      <c r="K60" s="540" t="str">
        <f>Texte!A487</f>
        <v>Charge effective</v>
      </c>
      <c r="L60" s="143"/>
      <c r="M60" s="40"/>
      <c r="N60" s="54"/>
      <c r="O60" s="275"/>
      <c r="P60" s="29"/>
    </row>
    <row r="61" spans="1:18" s="297" customFormat="1" ht="30" customHeight="1">
      <c r="A61" s="348"/>
      <c r="B61" s="295"/>
      <c r="C61" s="645" t="str">
        <f>Texte!A196</f>
        <v>Contribution supplémentaire pour les vaches laitières, les brebis laitières et les chèvres laitières (en complément des contributions ci-dessus)</v>
      </c>
      <c r="D61" s="645"/>
      <c r="E61" s="645"/>
      <c r="F61" s="645"/>
      <c r="G61" s="645"/>
      <c r="H61" s="645"/>
      <c r="I61" s="645"/>
      <c r="J61" s="15"/>
      <c r="K61" s="234"/>
      <c r="L61" s="143" t="s">
        <v>140</v>
      </c>
      <c r="M61" s="232">
        <v>40</v>
      </c>
      <c r="N61" s="313" t="s">
        <v>141</v>
      </c>
      <c r="O61" s="238">
        <f>K61*M61</f>
        <v>0</v>
      </c>
      <c r="P61" s="29"/>
    </row>
    <row r="62" spans="1:18" s="186" customFormat="1" ht="12.6" customHeight="1">
      <c r="A62" s="182"/>
      <c r="B62" s="73"/>
      <c r="C62" s="128"/>
      <c r="D62" s="11"/>
      <c r="E62" s="11"/>
      <c r="F62" s="11"/>
      <c r="G62" s="11"/>
      <c r="H62" s="11"/>
      <c r="I62" s="11"/>
      <c r="J62" s="11"/>
      <c r="K62" s="17"/>
      <c r="L62" s="17"/>
      <c r="M62" s="40"/>
      <c r="N62" s="23"/>
      <c r="O62" s="117"/>
      <c r="P62" s="31"/>
    </row>
    <row r="63" spans="1:18" s="186" customFormat="1" ht="17.100000000000001" customHeight="1">
      <c r="A63" s="182"/>
      <c r="B63" s="73"/>
      <c r="C63" s="26" t="str">
        <f>Texte!A47</f>
        <v>***PN = pâquier normal = 1 UGBFG estivée pendant 100 jours</v>
      </c>
      <c r="D63" s="11"/>
      <c r="E63" s="11"/>
      <c r="F63" s="11"/>
      <c r="G63" s="11"/>
      <c r="H63" s="11"/>
      <c r="I63" s="11"/>
      <c r="J63" s="11"/>
      <c r="K63" s="17"/>
      <c r="L63" s="17"/>
      <c r="M63" s="50" t="str">
        <f>Texte!A252</f>
        <v>Somme contributions</v>
      </c>
      <c r="N63" s="23"/>
      <c r="O63" s="187"/>
      <c r="P63" s="15"/>
    </row>
    <row r="64" spans="1:18" s="186" customFormat="1" ht="17.100000000000001" customHeight="1">
      <c r="A64" s="182"/>
      <c r="B64" s="73"/>
      <c r="C64" s="128"/>
      <c r="D64" s="11"/>
      <c r="E64" s="11"/>
      <c r="F64" s="11"/>
      <c r="G64" s="11"/>
      <c r="H64" s="11"/>
      <c r="I64" s="11"/>
      <c r="J64" s="11"/>
      <c r="K64" s="17"/>
      <c r="L64" s="17"/>
      <c r="M64" s="116"/>
      <c r="N64" s="23" t="s">
        <v>141</v>
      </c>
      <c r="O64" s="52">
        <f>SUM(O55:O61)</f>
        <v>0</v>
      </c>
      <c r="P64" s="15"/>
    </row>
    <row r="65" spans="1:19" s="186" customFormat="1" ht="6" customHeight="1">
      <c r="A65" s="182"/>
      <c r="B65" s="73"/>
      <c r="C65" s="128"/>
      <c r="D65" s="11"/>
      <c r="E65" s="11"/>
      <c r="F65" s="11"/>
      <c r="G65" s="11"/>
      <c r="H65" s="11"/>
      <c r="I65" s="11"/>
      <c r="J65" s="11"/>
      <c r="K65" s="17"/>
      <c r="L65" s="17"/>
      <c r="M65" s="17"/>
      <c r="N65" s="17"/>
      <c r="O65" s="144"/>
      <c r="P65" s="15"/>
    </row>
    <row r="66" spans="1:19" s="186" customFormat="1" ht="17.100000000000001" customHeight="1">
      <c r="A66" s="220"/>
      <c r="B66" s="273"/>
      <c r="C66" s="641" t="str">
        <f>Texte!A186</f>
        <v>Le montant des contributions est calculé en fonction de la charge usuelle, pour autant que la charge annuelle effective se situe entre 75% et 110% de la charge usuelle</v>
      </c>
      <c r="D66" s="641"/>
      <c r="E66" s="641"/>
      <c r="F66" s="641"/>
      <c r="G66" s="641"/>
      <c r="H66" s="641"/>
      <c r="I66" s="641"/>
      <c r="J66" s="641"/>
      <c r="K66" s="641"/>
      <c r="L66" s="641"/>
      <c r="M66" s="641"/>
      <c r="N66" s="290"/>
      <c r="O66" s="291"/>
      <c r="R66" s="16"/>
    </row>
    <row r="67" spans="1:19" s="186" customFormat="1" ht="17.100000000000001" customHeight="1">
      <c r="B67" s="20"/>
      <c r="C67" s="641"/>
      <c r="D67" s="641"/>
      <c r="E67" s="641"/>
      <c r="F67" s="641"/>
      <c r="G67" s="641"/>
      <c r="H67" s="641"/>
      <c r="I67" s="641"/>
      <c r="J67" s="641"/>
      <c r="K67" s="641"/>
      <c r="L67" s="641"/>
      <c r="M67" s="641"/>
      <c r="N67" s="17"/>
      <c r="O67" s="140"/>
      <c r="P67" s="15"/>
      <c r="Q67" s="15"/>
      <c r="R67" s="16"/>
    </row>
    <row r="68" spans="1:19" s="186" customFormat="1" ht="17.100000000000001" customHeight="1">
      <c r="B68" s="145" t="str">
        <f>Texte!A274</f>
        <v>Total contributions au paysage cultivé (y-compris estivage)</v>
      </c>
      <c r="C68" s="54"/>
      <c r="D68" s="54"/>
      <c r="E68" s="54"/>
      <c r="F68" s="54"/>
      <c r="G68" s="54"/>
      <c r="H68" s="54"/>
      <c r="I68" s="54"/>
      <c r="J68" s="54"/>
      <c r="K68" s="54"/>
      <c r="L68" s="54"/>
      <c r="M68" s="54"/>
      <c r="N68" s="17"/>
      <c r="O68" s="191">
        <f>O49+O64</f>
        <v>0</v>
      </c>
      <c r="P68" s="15"/>
      <c r="Q68" s="15"/>
      <c r="R68" s="16"/>
    </row>
    <row r="69" spans="1:19" s="186" customFormat="1" ht="6" customHeight="1">
      <c r="A69" s="184"/>
      <c r="B69" s="192"/>
      <c r="C69" s="193"/>
      <c r="D69" s="193"/>
      <c r="E69" s="193"/>
      <c r="F69" s="193"/>
      <c r="G69" s="193"/>
      <c r="H69" s="193"/>
      <c r="I69" s="193"/>
      <c r="J69" s="193"/>
      <c r="K69" s="193"/>
      <c r="L69" s="193"/>
      <c r="M69" s="193"/>
      <c r="N69" s="193"/>
      <c r="O69" s="194"/>
      <c r="P69" s="15"/>
      <c r="Q69" s="15"/>
      <c r="R69" s="16"/>
    </row>
    <row r="70" spans="1:19" ht="30" customHeight="1">
      <c r="B70" s="195"/>
      <c r="C70" s="636" t="str">
        <f>Texte!A327</f>
        <v>Etat selon modifications d'ordonnances dans le cadre de l'initiative parlementaire 19.475 d'avril 2022. 
AGRIDEA décline toute responsabilité quant aux conséquences de l’utilisation de cet outil.                                                          Version 4.9.3</v>
      </c>
      <c r="D70" s="637"/>
      <c r="E70" s="637"/>
      <c r="F70" s="637"/>
      <c r="G70" s="637"/>
      <c r="H70" s="637"/>
      <c r="I70" s="637"/>
      <c r="J70" s="637"/>
      <c r="K70" s="637"/>
      <c r="L70" s="637"/>
      <c r="M70" s="637"/>
      <c r="N70" s="637"/>
      <c r="O70" s="637"/>
      <c r="P70" s="7"/>
      <c r="Q70" s="7"/>
      <c r="R70" s="3"/>
      <c r="S70" s="186"/>
    </row>
    <row r="71" spans="1:19" ht="33.950000000000003" customHeight="1">
      <c r="A71" s="21"/>
      <c r="P71" s="7"/>
      <c r="Q71" s="7"/>
      <c r="R71" s="3"/>
    </row>
    <row r="72" spans="1:19" s="21" customFormat="1" ht="17.100000000000001" customHeight="1">
      <c r="A72" s="184"/>
      <c r="B72" s="184"/>
      <c r="C72" s="184"/>
      <c r="D72" s="184"/>
      <c r="E72" s="184"/>
      <c r="F72" s="184"/>
      <c r="G72" s="184"/>
      <c r="H72" s="184"/>
      <c r="I72" s="184"/>
      <c r="J72" s="184"/>
      <c r="K72" s="184"/>
      <c r="L72" s="184"/>
      <c r="M72" s="184"/>
      <c r="N72" s="184"/>
      <c r="O72" s="184"/>
      <c r="P72" s="7"/>
      <c r="Q72" s="7"/>
      <c r="R72" s="3"/>
      <c r="S72" s="184"/>
    </row>
    <row r="73" spans="1:19" ht="17.100000000000001" customHeight="1">
      <c r="A73" s="186"/>
      <c r="P73" s="7"/>
      <c r="Q73" s="7"/>
      <c r="R73" s="3"/>
      <c r="S73" s="21"/>
    </row>
    <row r="74" spans="1:19" s="186" customFormat="1" ht="17.100000000000001" customHeight="1">
      <c r="B74" s="184"/>
      <c r="C74" s="184"/>
      <c r="D74" s="184"/>
      <c r="E74" s="184"/>
      <c r="F74" s="184"/>
      <c r="G74" s="184"/>
      <c r="H74" s="184"/>
      <c r="I74" s="184"/>
      <c r="J74" s="184"/>
      <c r="K74" s="184"/>
      <c r="L74" s="184"/>
      <c r="M74" s="184"/>
      <c r="N74" s="184"/>
      <c r="O74" s="184"/>
      <c r="P74" s="15"/>
      <c r="Q74" s="15"/>
      <c r="R74" s="16"/>
      <c r="S74" s="184"/>
    </row>
    <row r="75" spans="1:19" s="186" customFormat="1" ht="17.100000000000001" customHeight="1">
      <c r="B75" s="184"/>
      <c r="C75" s="184"/>
      <c r="D75" s="184"/>
      <c r="E75" s="184"/>
      <c r="F75" s="184"/>
      <c r="G75" s="184"/>
      <c r="H75" s="184"/>
      <c r="I75" s="184"/>
      <c r="J75" s="184"/>
      <c r="K75" s="184"/>
      <c r="L75" s="184"/>
      <c r="M75" s="184"/>
      <c r="N75" s="184"/>
      <c r="O75" s="184"/>
      <c r="P75" s="15"/>
      <c r="Q75" s="15"/>
      <c r="R75" s="16"/>
    </row>
    <row r="76" spans="1:19" s="186" customFormat="1" ht="17.100000000000001" customHeight="1">
      <c r="B76" s="184"/>
      <c r="C76" s="184"/>
      <c r="D76" s="184"/>
      <c r="E76" s="184"/>
      <c r="F76" s="184"/>
      <c r="G76" s="184"/>
      <c r="H76" s="184"/>
      <c r="I76" s="184"/>
      <c r="J76" s="184"/>
      <c r="K76" s="184"/>
      <c r="L76" s="184"/>
      <c r="M76" s="184"/>
      <c r="N76" s="184"/>
      <c r="O76" s="184"/>
      <c r="P76" s="15"/>
      <c r="Q76" s="15"/>
      <c r="R76" s="16"/>
    </row>
    <row r="77" spans="1:19" s="186" customFormat="1" ht="17.100000000000001" customHeight="1">
      <c r="B77" s="184"/>
      <c r="C77" s="184"/>
      <c r="D77" s="184"/>
      <c r="E77" s="184"/>
      <c r="F77" s="184"/>
      <c r="G77" s="184"/>
      <c r="H77" s="184"/>
      <c r="I77" s="184"/>
      <c r="J77" s="184"/>
      <c r="K77" s="184"/>
      <c r="L77" s="184"/>
      <c r="M77" s="184"/>
      <c r="N77" s="184"/>
      <c r="O77" s="184"/>
      <c r="P77" s="15"/>
      <c r="Q77" s="15"/>
      <c r="R77" s="16"/>
    </row>
    <row r="78" spans="1:19" s="186" customFormat="1" ht="17.100000000000001" customHeight="1">
      <c r="B78" s="184"/>
      <c r="C78" s="184"/>
      <c r="D78" s="184"/>
      <c r="E78" s="184"/>
      <c r="F78" s="184"/>
      <c r="G78" s="184"/>
      <c r="H78" s="184"/>
      <c r="I78" s="184"/>
      <c r="J78" s="184"/>
      <c r="K78" s="184"/>
      <c r="L78" s="184"/>
      <c r="M78" s="184"/>
      <c r="N78" s="184"/>
      <c r="O78" s="184"/>
      <c r="P78" s="15"/>
      <c r="Q78" s="15"/>
      <c r="R78" s="16"/>
    </row>
    <row r="79" spans="1:19" s="186" customFormat="1" ht="17.100000000000001" customHeight="1">
      <c r="B79" s="184"/>
      <c r="C79" s="184"/>
      <c r="D79" s="184"/>
      <c r="E79" s="184"/>
      <c r="F79" s="184"/>
      <c r="G79" s="184"/>
      <c r="H79" s="184"/>
      <c r="I79" s="184"/>
      <c r="J79" s="184"/>
      <c r="K79" s="184"/>
      <c r="L79" s="184"/>
      <c r="M79" s="184"/>
      <c r="N79" s="184"/>
      <c r="O79" s="184"/>
      <c r="P79" s="15"/>
      <c r="Q79" s="15"/>
      <c r="R79" s="16"/>
    </row>
    <row r="80" spans="1:19" s="186" customFormat="1" ht="17.100000000000001" customHeight="1">
      <c r="B80" s="184"/>
      <c r="C80" s="184"/>
      <c r="D80" s="184"/>
      <c r="E80" s="184"/>
      <c r="F80" s="184"/>
      <c r="G80" s="184"/>
      <c r="H80" s="184"/>
      <c r="I80" s="184"/>
      <c r="J80" s="184"/>
      <c r="K80" s="184"/>
      <c r="L80" s="184"/>
      <c r="M80" s="184"/>
      <c r="N80" s="184"/>
      <c r="O80" s="184"/>
      <c r="P80" s="15"/>
      <c r="Q80" s="15"/>
      <c r="R80" s="16"/>
    </row>
    <row r="81" spans="1:19" s="186" customFormat="1" ht="17.100000000000001" customHeight="1">
      <c r="B81" s="184"/>
      <c r="C81" s="184"/>
      <c r="D81" s="184"/>
      <c r="E81" s="184"/>
      <c r="F81" s="184"/>
      <c r="G81" s="184"/>
      <c r="H81" s="184"/>
      <c r="I81" s="184"/>
      <c r="J81" s="184"/>
      <c r="K81" s="184"/>
      <c r="L81" s="184"/>
      <c r="M81" s="184"/>
      <c r="N81" s="184"/>
      <c r="O81" s="184"/>
      <c r="P81" s="15"/>
      <c r="Q81" s="15"/>
      <c r="R81" s="16"/>
    </row>
    <row r="82" spans="1:19" s="186" customFormat="1" ht="17.100000000000001" customHeight="1">
      <c r="B82" s="184"/>
      <c r="C82" s="184"/>
      <c r="D82" s="184"/>
      <c r="E82" s="184"/>
      <c r="F82" s="184"/>
      <c r="G82" s="184"/>
      <c r="H82" s="184"/>
      <c r="I82" s="184"/>
      <c r="J82" s="184"/>
      <c r="K82" s="184"/>
      <c r="L82" s="184"/>
      <c r="M82" s="184"/>
      <c r="N82" s="184"/>
      <c r="O82" s="184"/>
      <c r="P82" s="15"/>
      <c r="Q82" s="15"/>
      <c r="R82" s="16"/>
    </row>
    <row r="83" spans="1:19" s="186" customFormat="1" ht="17.100000000000001" customHeight="1">
      <c r="B83" s="184"/>
      <c r="C83" s="184"/>
      <c r="D83" s="184"/>
      <c r="E83" s="184"/>
      <c r="F83" s="184"/>
      <c r="G83" s="184"/>
      <c r="H83" s="184"/>
      <c r="I83" s="184"/>
      <c r="J83" s="184"/>
      <c r="K83" s="184"/>
      <c r="L83" s="184"/>
      <c r="M83" s="184"/>
      <c r="N83" s="184"/>
      <c r="O83" s="184"/>
      <c r="P83" s="15"/>
      <c r="Q83" s="15"/>
      <c r="R83" s="16"/>
    </row>
    <row r="84" spans="1:19" s="186" customFormat="1" ht="17.100000000000001" customHeight="1">
      <c r="B84" s="184"/>
      <c r="C84" s="184"/>
      <c r="D84" s="184"/>
      <c r="E84" s="184"/>
      <c r="F84" s="184"/>
      <c r="G84" s="184"/>
      <c r="H84" s="184"/>
      <c r="I84" s="184"/>
      <c r="J84" s="184"/>
      <c r="K84" s="184"/>
      <c r="L84" s="184"/>
      <c r="M84" s="184"/>
      <c r="N84" s="184"/>
      <c r="O84" s="184"/>
      <c r="P84" s="15"/>
      <c r="Q84" s="15"/>
      <c r="R84" s="16"/>
    </row>
    <row r="85" spans="1:19" s="186" customFormat="1" ht="17.100000000000001" customHeight="1">
      <c r="B85" s="184"/>
      <c r="C85" s="184"/>
      <c r="D85" s="184"/>
      <c r="E85" s="184"/>
      <c r="F85" s="184"/>
      <c r="G85" s="184"/>
      <c r="H85" s="184"/>
      <c r="I85" s="184"/>
      <c r="J85" s="184"/>
      <c r="K85" s="184"/>
      <c r="L85" s="184"/>
      <c r="M85" s="184"/>
      <c r="N85" s="184"/>
      <c r="O85" s="184"/>
      <c r="P85" s="15"/>
      <c r="Q85" s="15"/>
      <c r="R85" s="16"/>
    </row>
    <row r="86" spans="1:19" s="186" customFormat="1" ht="17.100000000000001" customHeight="1">
      <c r="B86" s="184"/>
      <c r="C86" s="184"/>
      <c r="D86" s="184"/>
      <c r="E86" s="184"/>
      <c r="F86" s="184"/>
      <c r="G86" s="184"/>
      <c r="H86" s="184"/>
      <c r="I86" s="184"/>
      <c r="J86" s="184"/>
      <c r="K86" s="184"/>
      <c r="L86" s="184"/>
      <c r="M86" s="184"/>
      <c r="N86" s="184"/>
      <c r="O86" s="184"/>
      <c r="P86" s="15"/>
      <c r="Q86" s="15"/>
      <c r="R86" s="16"/>
    </row>
    <row r="87" spans="1:19" s="186" customFormat="1" ht="17.100000000000001" customHeight="1">
      <c r="B87" s="184"/>
      <c r="C87" s="184"/>
      <c r="D87" s="184"/>
      <c r="E87" s="184"/>
      <c r="F87" s="184"/>
      <c r="G87" s="184"/>
      <c r="H87" s="184"/>
      <c r="I87" s="184"/>
      <c r="J87" s="184"/>
      <c r="K87" s="184"/>
      <c r="L87" s="184"/>
      <c r="M87" s="184"/>
      <c r="N87" s="184"/>
      <c r="O87" s="184"/>
      <c r="P87" s="15"/>
      <c r="Q87" s="15"/>
      <c r="R87" s="16"/>
    </row>
    <row r="88" spans="1:19" s="186" customFormat="1" ht="17.100000000000001" customHeight="1">
      <c r="B88" s="184"/>
      <c r="C88" s="184"/>
      <c r="D88" s="184"/>
      <c r="E88" s="184"/>
      <c r="F88" s="184"/>
      <c r="G88" s="184"/>
      <c r="H88" s="184"/>
      <c r="I88" s="184"/>
      <c r="J88" s="184"/>
      <c r="K88" s="184"/>
      <c r="L88" s="184"/>
      <c r="M88" s="184"/>
      <c r="N88" s="184"/>
      <c r="O88" s="184"/>
      <c r="P88" s="15"/>
      <c r="Q88" s="15"/>
      <c r="R88" s="16"/>
    </row>
    <row r="89" spans="1:19" s="186" customFormat="1" ht="17.100000000000001" customHeight="1">
      <c r="B89" s="184"/>
      <c r="C89" s="184"/>
      <c r="D89" s="184"/>
      <c r="E89" s="184"/>
      <c r="F89" s="184"/>
      <c r="G89" s="184"/>
      <c r="H89" s="184"/>
      <c r="I89" s="184"/>
      <c r="J89" s="184"/>
      <c r="K89" s="184"/>
      <c r="L89" s="184"/>
      <c r="M89" s="184"/>
      <c r="N89" s="184"/>
      <c r="O89" s="184"/>
      <c r="P89" s="15"/>
      <c r="Q89" s="15"/>
      <c r="R89" s="16"/>
    </row>
    <row r="90" spans="1:19" s="186" customFormat="1" ht="17.100000000000001" customHeight="1">
      <c r="B90" s="184"/>
      <c r="C90" s="184"/>
      <c r="D90" s="184"/>
      <c r="E90" s="184"/>
      <c r="F90" s="184"/>
      <c r="G90" s="184"/>
      <c r="H90" s="184"/>
      <c r="I90" s="184"/>
      <c r="J90" s="184"/>
      <c r="K90" s="184"/>
      <c r="L90" s="184"/>
      <c r="M90" s="184"/>
      <c r="N90" s="184"/>
      <c r="O90" s="184"/>
      <c r="P90" s="15"/>
      <c r="Q90" s="15"/>
      <c r="R90" s="16"/>
    </row>
    <row r="91" spans="1:19" s="186" customFormat="1" ht="17.100000000000001" customHeight="1">
      <c r="B91" s="11"/>
      <c r="C91" s="11"/>
      <c r="D91" s="11"/>
      <c r="E91" s="11"/>
      <c r="F91" s="11"/>
      <c r="G91" s="11"/>
      <c r="H91" s="11"/>
      <c r="I91" s="11"/>
      <c r="J91" s="11"/>
      <c r="K91" s="11"/>
      <c r="L91" s="11"/>
      <c r="M91" s="11"/>
      <c r="N91" s="11"/>
      <c r="O91" s="11"/>
      <c r="P91" s="11"/>
      <c r="Q91" s="11"/>
      <c r="R91" s="16"/>
    </row>
    <row r="92" spans="1:19" s="186" customFormat="1" ht="14.1" customHeight="1">
      <c r="A92" s="184"/>
      <c r="B92" s="11"/>
      <c r="C92" s="11"/>
      <c r="D92" s="11"/>
      <c r="E92" s="11"/>
      <c r="F92" s="11"/>
      <c r="G92" s="11"/>
      <c r="H92" s="11"/>
      <c r="I92" s="11"/>
      <c r="J92" s="11"/>
      <c r="K92" s="11"/>
      <c r="L92" s="11"/>
      <c r="M92" s="11"/>
      <c r="N92" s="11"/>
      <c r="O92" s="11"/>
      <c r="P92" s="11"/>
      <c r="Q92" s="11"/>
      <c r="R92" s="16"/>
    </row>
    <row r="93" spans="1:19" ht="14.1" customHeight="1">
      <c r="B93" s="2"/>
      <c r="C93" s="2"/>
      <c r="D93" s="2"/>
      <c r="E93" s="2"/>
      <c r="F93" s="2"/>
      <c r="G93" s="2"/>
      <c r="H93" s="2"/>
      <c r="I93" s="2"/>
      <c r="J93" s="2"/>
      <c r="K93" s="2"/>
      <c r="L93" s="2"/>
      <c r="M93" s="2"/>
      <c r="N93" s="2"/>
      <c r="O93" s="2"/>
      <c r="P93" s="2"/>
      <c r="Q93" s="2"/>
      <c r="R93" s="3"/>
      <c r="S93" s="186"/>
    </row>
    <row r="94" spans="1:19" ht="14.1" customHeight="1">
      <c r="B94" s="2"/>
      <c r="C94" s="2"/>
      <c r="D94" s="2"/>
      <c r="E94" s="2"/>
      <c r="F94" s="2"/>
      <c r="G94" s="2"/>
      <c r="H94" s="2"/>
      <c r="I94" s="2"/>
      <c r="J94" s="2"/>
      <c r="K94" s="2"/>
      <c r="L94" s="2"/>
      <c r="M94" s="2"/>
      <c r="N94" s="2"/>
      <c r="O94" s="2"/>
      <c r="P94" s="2"/>
      <c r="Q94" s="2"/>
      <c r="R94" s="3"/>
    </row>
    <row r="95" spans="1:19" ht="14.1" customHeight="1">
      <c r="B95" s="2"/>
      <c r="C95" s="2"/>
      <c r="D95" s="2"/>
      <c r="E95" s="2"/>
      <c r="F95" s="2"/>
      <c r="G95" s="2"/>
      <c r="H95" s="2"/>
      <c r="I95" s="2"/>
      <c r="J95" s="2"/>
      <c r="K95" s="2"/>
      <c r="L95" s="2"/>
      <c r="M95" s="2"/>
      <c r="N95" s="2"/>
      <c r="O95" s="2"/>
      <c r="P95" s="2"/>
      <c r="Q95" s="2"/>
      <c r="R95" s="3"/>
    </row>
    <row r="96" spans="1:19" ht="14.1" customHeight="1">
      <c r="B96" s="2"/>
      <c r="C96" s="2"/>
      <c r="D96" s="2"/>
      <c r="E96" s="2"/>
      <c r="F96" s="2"/>
      <c r="G96" s="2"/>
      <c r="H96" s="2"/>
      <c r="I96" s="2"/>
      <c r="J96" s="2"/>
      <c r="K96" s="2"/>
      <c r="L96" s="2"/>
      <c r="M96" s="2"/>
      <c r="N96" s="2"/>
      <c r="O96" s="2"/>
      <c r="P96" s="2"/>
      <c r="Q96" s="2"/>
      <c r="R96" s="3"/>
    </row>
    <row r="97" spans="2:18" ht="14.1" customHeight="1">
      <c r="B97" s="2"/>
      <c r="C97" s="2"/>
      <c r="D97" s="2"/>
      <c r="E97" s="2"/>
      <c r="F97" s="2"/>
      <c r="G97" s="2"/>
      <c r="H97" s="2"/>
      <c r="I97" s="2"/>
      <c r="J97" s="2"/>
      <c r="K97" s="2"/>
      <c r="L97" s="2"/>
      <c r="M97" s="2"/>
      <c r="N97" s="2"/>
      <c r="O97" s="2"/>
      <c r="P97" s="2"/>
      <c r="Q97" s="2"/>
      <c r="R97" s="3"/>
    </row>
    <row r="98" spans="2:18" ht="14.1" customHeight="1">
      <c r="B98" s="2"/>
      <c r="C98" s="2"/>
      <c r="D98" s="2"/>
      <c r="E98" s="2"/>
      <c r="F98" s="2"/>
      <c r="G98" s="2"/>
      <c r="H98" s="2"/>
      <c r="I98" s="2"/>
      <c r="J98" s="2"/>
      <c r="K98" s="2"/>
      <c r="L98" s="2"/>
      <c r="M98" s="2"/>
      <c r="N98" s="2"/>
      <c r="O98" s="2"/>
      <c r="P98" s="2"/>
      <c r="Q98" s="2"/>
      <c r="R98" s="3"/>
    </row>
    <row r="99" spans="2:18" ht="14.1" customHeight="1">
      <c r="B99" s="2"/>
      <c r="C99" s="2"/>
      <c r="D99" s="2"/>
      <c r="E99" s="2"/>
      <c r="F99" s="2"/>
      <c r="G99" s="2"/>
      <c r="H99" s="2"/>
      <c r="I99" s="2"/>
      <c r="J99" s="2"/>
      <c r="K99" s="2"/>
      <c r="L99" s="2"/>
      <c r="M99" s="2"/>
      <c r="N99" s="2"/>
      <c r="O99" s="2"/>
      <c r="P99" s="2"/>
      <c r="Q99" s="2"/>
      <c r="R99" s="3"/>
    </row>
    <row r="100" spans="2:18" ht="14.1" customHeight="1">
      <c r="B100" s="2"/>
      <c r="C100" s="2"/>
      <c r="D100" s="2"/>
      <c r="E100" s="2"/>
      <c r="F100" s="2"/>
      <c r="G100" s="2"/>
      <c r="H100" s="2"/>
      <c r="I100" s="2"/>
      <c r="J100" s="2"/>
      <c r="K100" s="2"/>
      <c r="L100" s="2"/>
      <c r="M100" s="2"/>
      <c r="N100" s="2"/>
      <c r="O100" s="2"/>
      <c r="P100" s="2"/>
      <c r="Q100" s="2"/>
      <c r="R100" s="3"/>
    </row>
    <row r="101" spans="2:18" ht="14.1" customHeight="1">
      <c r="B101" s="2"/>
      <c r="C101" s="2"/>
      <c r="D101" s="2"/>
      <c r="E101" s="2"/>
      <c r="F101" s="2"/>
      <c r="G101" s="2"/>
      <c r="H101" s="2"/>
      <c r="I101" s="2"/>
      <c r="J101" s="2"/>
      <c r="K101" s="2"/>
      <c r="L101" s="2"/>
      <c r="M101" s="2"/>
      <c r="N101" s="2"/>
      <c r="O101" s="2"/>
      <c r="P101" s="2"/>
      <c r="Q101" s="2"/>
      <c r="R101" s="3"/>
    </row>
    <row r="102" spans="2:18" ht="14.1" customHeight="1">
      <c r="B102" s="2"/>
      <c r="C102" s="2"/>
      <c r="D102" s="2"/>
      <c r="E102" s="2"/>
      <c r="F102" s="2"/>
      <c r="G102" s="2"/>
      <c r="H102" s="2"/>
      <c r="I102" s="2"/>
      <c r="J102" s="2"/>
      <c r="K102" s="2"/>
      <c r="L102" s="2"/>
      <c r="M102" s="2"/>
      <c r="N102" s="2"/>
      <c r="O102" s="2"/>
      <c r="P102" s="2"/>
      <c r="Q102" s="2"/>
      <c r="R102" s="3"/>
    </row>
    <row r="103" spans="2:18" ht="14.1" customHeight="1">
      <c r="B103" s="2"/>
      <c r="C103" s="2"/>
      <c r="D103" s="2"/>
      <c r="E103" s="2"/>
      <c r="F103" s="2"/>
      <c r="G103" s="2"/>
      <c r="H103" s="2"/>
      <c r="I103" s="2"/>
      <c r="J103" s="2"/>
      <c r="K103" s="2"/>
      <c r="L103" s="2"/>
      <c r="M103" s="2"/>
      <c r="N103" s="2"/>
      <c r="O103" s="2"/>
      <c r="P103" s="2"/>
      <c r="Q103" s="2"/>
      <c r="R103" s="3"/>
    </row>
    <row r="104" spans="2:18" ht="14.1" customHeight="1">
      <c r="B104" s="2"/>
      <c r="C104" s="2"/>
      <c r="D104" s="2"/>
      <c r="E104" s="2"/>
      <c r="F104" s="2"/>
      <c r="G104" s="2"/>
      <c r="H104" s="2"/>
      <c r="I104" s="2"/>
      <c r="J104" s="2"/>
      <c r="K104" s="2"/>
      <c r="L104" s="2"/>
      <c r="M104" s="2"/>
      <c r="N104" s="2"/>
      <c r="O104" s="2"/>
      <c r="P104" s="2"/>
      <c r="Q104" s="2"/>
      <c r="R104" s="3"/>
    </row>
    <row r="105" spans="2:18" ht="14.1" customHeight="1">
      <c r="B105" s="2"/>
      <c r="C105" s="2"/>
      <c r="D105" s="2"/>
      <c r="E105" s="2"/>
      <c r="F105" s="2"/>
      <c r="G105" s="2"/>
      <c r="H105" s="2"/>
      <c r="I105" s="2"/>
      <c r="J105" s="2"/>
      <c r="K105" s="2"/>
      <c r="L105" s="2"/>
      <c r="M105" s="2"/>
      <c r="N105" s="2"/>
      <c r="O105" s="2"/>
      <c r="P105" s="2"/>
      <c r="Q105" s="2"/>
      <c r="R105" s="3"/>
    </row>
    <row r="106" spans="2:18" ht="14.1" customHeight="1">
      <c r="B106" s="2"/>
      <c r="C106" s="2"/>
      <c r="D106" s="2"/>
      <c r="E106" s="2"/>
      <c r="F106" s="2"/>
      <c r="G106" s="2"/>
      <c r="H106" s="2"/>
      <c r="I106" s="2"/>
      <c r="J106" s="2"/>
      <c r="K106" s="2"/>
      <c r="L106" s="2"/>
      <c r="M106" s="2"/>
      <c r="N106" s="2"/>
      <c r="O106" s="2"/>
      <c r="P106" s="2"/>
      <c r="Q106" s="2"/>
      <c r="R106" s="3"/>
    </row>
    <row r="107" spans="2:18" ht="14.1" customHeight="1">
      <c r="B107" s="2"/>
      <c r="C107" s="2"/>
      <c r="D107" s="2"/>
      <c r="E107" s="2"/>
      <c r="F107" s="2"/>
      <c r="G107" s="2"/>
      <c r="H107" s="2"/>
      <c r="I107" s="2"/>
      <c r="J107" s="2"/>
      <c r="K107" s="2"/>
      <c r="L107" s="2"/>
      <c r="M107" s="2"/>
      <c r="N107" s="2"/>
      <c r="O107" s="2"/>
      <c r="P107" s="2"/>
      <c r="Q107" s="2"/>
      <c r="R107" s="3"/>
    </row>
    <row r="108" spans="2:18" ht="14.1" customHeight="1">
      <c r="B108" s="2"/>
      <c r="C108" s="2"/>
      <c r="D108" s="2"/>
      <c r="E108" s="2"/>
      <c r="F108" s="2"/>
      <c r="G108" s="2"/>
      <c r="H108" s="2"/>
      <c r="I108" s="2"/>
      <c r="J108" s="2"/>
      <c r="K108" s="2"/>
      <c r="L108" s="2"/>
      <c r="M108" s="2"/>
      <c r="N108" s="2"/>
      <c r="O108" s="2"/>
      <c r="P108" s="2"/>
      <c r="Q108" s="2"/>
      <c r="R108" s="3"/>
    </row>
    <row r="109" spans="2:18" ht="14.1" customHeight="1">
      <c r="B109" s="2"/>
      <c r="C109" s="2"/>
      <c r="D109" s="2"/>
      <c r="E109" s="2"/>
      <c r="F109" s="2"/>
      <c r="G109" s="2"/>
      <c r="H109" s="2"/>
      <c r="I109" s="2"/>
      <c r="J109" s="2"/>
      <c r="K109" s="2"/>
      <c r="L109" s="2"/>
      <c r="M109" s="2"/>
      <c r="N109" s="2"/>
      <c r="O109" s="2"/>
      <c r="P109" s="2"/>
      <c r="Q109" s="2"/>
      <c r="R109" s="3"/>
    </row>
    <row r="110" spans="2:18" ht="14.1" customHeight="1">
      <c r="B110" s="2"/>
      <c r="C110" s="2"/>
      <c r="D110" s="2"/>
      <c r="E110" s="2"/>
      <c r="F110" s="2"/>
      <c r="G110" s="2"/>
      <c r="H110" s="2"/>
      <c r="I110" s="2"/>
      <c r="J110" s="2"/>
      <c r="K110" s="2"/>
      <c r="L110" s="2"/>
      <c r="M110" s="2"/>
      <c r="N110" s="2"/>
      <c r="O110" s="2"/>
      <c r="P110" s="2"/>
      <c r="Q110" s="2"/>
      <c r="R110" s="3"/>
    </row>
    <row r="111" spans="2:18" ht="14.1" customHeight="1">
      <c r="B111" s="2"/>
      <c r="C111" s="2"/>
      <c r="D111" s="2"/>
      <c r="E111" s="2"/>
      <c r="F111" s="2"/>
      <c r="G111" s="2"/>
      <c r="H111" s="2"/>
      <c r="I111" s="2"/>
      <c r="J111" s="2"/>
      <c r="K111" s="2"/>
      <c r="L111" s="2"/>
      <c r="M111" s="2"/>
      <c r="N111" s="2"/>
      <c r="O111" s="2"/>
      <c r="P111" s="2"/>
      <c r="Q111" s="2"/>
      <c r="R111" s="3"/>
    </row>
    <row r="112" spans="2:18" ht="14.1" customHeight="1">
      <c r="B112" s="2"/>
      <c r="C112" s="2"/>
      <c r="D112" s="2"/>
      <c r="E112" s="2"/>
      <c r="F112" s="2"/>
      <c r="G112" s="2"/>
      <c r="H112" s="2"/>
      <c r="I112" s="2"/>
      <c r="J112" s="2"/>
      <c r="K112" s="2"/>
      <c r="L112" s="2"/>
      <c r="M112" s="2"/>
      <c r="N112" s="2"/>
      <c r="O112" s="2"/>
      <c r="P112" s="2"/>
      <c r="Q112" s="2"/>
      <c r="R112" s="3"/>
    </row>
    <row r="113" spans="2:18" ht="14.1" customHeight="1">
      <c r="B113" s="2"/>
      <c r="C113" s="2"/>
      <c r="D113" s="2"/>
      <c r="E113" s="2"/>
      <c r="F113" s="2"/>
      <c r="G113" s="2"/>
      <c r="H113" s="2"/>
      <c r="I113" s="2"/>
      <c r="J113" s="2"/>
      <c r="K113" s="2"/>
      <c r="L113" s="2"/>
      <c r="M113" s="2"/>
      <c r="N113" s="2"/>
      <c r="O113" s="2"/>
      <c r="P113" s="2"/>
      <c r="Q113" s="2"/>
      <c r="R113" s="3"/>
    </row>
    <row r="114" spans="2:18" ht="14.1" customHeight="1">
      <c r="B114" s="2"/>
      <c r="C114" s="2"/>
      <c r="D114" s="2"/>
      <c r="E114" s="2"/>
      <c r="F114" s="2"/>
      <c r="G114" s="2"/>
      <c r="H114" s="2"/>
      <c r="I114" s="2"/>
      <c r="J114" s="2"/>
      <c r="K114" s="2"/>
      <c r="L114" s="2"/>
      <c r="M114" s="2"/>
      <c r="N114" s="2"/>
      <c r="O114" s="2"/>
      <c r="P114" s="2"/>
      <c r="Q114" s="2"/>
      <c r="R114" s="3"/>
    </row>
    <row r="115" spans="2:18" ht="14.1" customHeight="1">
      <c r="B115" s="2"/>
      <c r="C115" s="2"/>
      <c r="D115" s="2"/>
      <c r="E115" s="2"/>
      <c r="F115" s="2"/>
      <c r="G115" s="2"/>
      <c r="H115" s="2"/>
      <c r="I115" s="2"/>
      <c r="J115" s="2"/>
      <c r="K115" s="2"/>
      <c r="L115" s="2"/>
      <c r="M115" s="2"/>
      <c r="N115" s="2"/>
      <c r="O115" s="2"/>
      <c r="P115" s="2"/>
      <c r="Q115" s="2"/>
      <c r="R115" s="3"/>
    </row>
    <row r="116" spans="2:18" ht="14.1" customHeight="1">
      <c r="B116" s="2"/>
      <c r="C116" s="2"/>
      <c r="D116" s="2"/>
      <c r="E116" s="2"/>
      <c r="F116" s="2"/>
      <c r="G116" s="2"/>
      <c r="H116" s="2"/>
      <c r="I116" s="2"/>
      <c r="J116" s="2"/>
      <c r="K116" s="2"/>
      <c r="L116" s="2"/>
      <c r="M116" s="2"/>
      <c r="N116" s="2"/>
      <c r="O116" s="2"/>
      <c r="P116" s="2"/>
      <c r="Q116" s="2"/>
      <c r="R116" s="3"/>
    </row>
    <row r="117" spans="2:18" ht="14.1" customHeight="1">
      <c r="B117" s="2"/>
      <c r="C117" s="2"/>
      <c r="D117" s="2"/>
      <c r="E117" s="2"/>
      <c r="F117" s="2"/>
      <c r="G117" s="2"/>
      <c r="H117" s="2"/>
      <c r="I117" s="2"/>
      <c r="J117" s="2"/>
      <c r="K117" s="2"/>
      <c r="L117" s="2"/>
      <c r="M117" s="2"/>
      <c r="N117" s="2"/>
      <c r="O117" s="2"/>
      <c r="P117" s="2"/>
      <c r="Q117" s="2"/>
      <c r="R117" s="3"/>
    </row>
    <row r="118" spans="2:18" ht="14.1" customHeight="1">
      <c r="B118" s="2"/>
      <c r="C118" s="2"/>
      <c r="D118" s="2"/>
      <c r="E118" s="2"/>
      <c r="F118" s="2"/>
      <c r="G118" s="2"/>
      <c r="H118" s="2"/>
      <c r="I118" s="2"/>
      <c r="J118" s="2"/>
      <c r="K118" s="2"/>
      <c r="L118" s="2"/>
      <c r="M118" s="2"/>
      <c r="N118" s="2"/>
      <c r="O118" s="2"/>
      <c r="P118" s="2"/>
      <c r="Q118" s="2"/>
      <c r="R118" s="3"/>
    </row>
    <row r="119" spans="2:18" ht="14.1" customHeight="1">
      <c r="B119" s="2"/>
      <c r="C119" s="2"/>
      <c r="D119" s="2"/>
      <c r="E119" s="2"/>
      <c r="F119" s="2"/>
      <c r="G119" s="2"/>
      <c r="H119" s="2"/>
      <c r="I119" s="2"/>
      <c r="J119" s="2"/>
      <c r="K119" s="2"/>
      <c r="L119" s="2"/>
      <c r="M119" s="2"/>
      <c r="N119" s="2"/>
      <c r="O119" s="2"/>
      <c r="P119" s="2"/>
      <c r="Q119" s="2"/>
      <c r="R119" s="3"/>
    </row>
    <row r="120" spans="2:18" ht="14.1" customHeight="1">
      <c r="B120" s="2"/>
      <c r="C120" s="2"/>
      <c r="D120" s="2"/>
      <c r="E120" s="2"/>
      <c r="F120" s="2"/>
      <c r="G120" s="2"/>
      <c r="H120" s="2"/>
      <c r="I120" s="2"/>
      <c r="J120" s="2"/>
      <c r="K120" s="2"/>
      <c r="L120" s="2"/>
      <c r="M120" s="2"/>
      <c r="N120" s="2"/>
      <c r="O120" s="2"/>
      <c r="P120" s="2"/>
      <c r="Q120" s="2"/>
      <c r="R120" s="3"/>
    </row>
    <row r="121" spans="2:18" ht="14.1" customHeight="1">
      <c r="B121" s="2"/>
      <c r="C121" s="2"/>
      <c r="D121" s="2"/>
      <c r="E121" s="2"/>
      <c r="F121" s="2"/>
      <c r="G121" s="2"/>
      <c r="H121" s="2"/>
      <c r="I121" s="2"/>
      <c r="J121" s="2"/>
      <c r="K121" s="2"/>
      <c r="L121" s="2"/>
      <c r="M121" s="2"/>
      <c r="N121" s="2"/>
      <c r="O121" s="2"/>
      <c r="P121" s="2"/>
      <c r="Q121" s="2"/>
      <c r="R121" s="3"/>
    </row>
    <row r="122" spans="2:18" ht="14.1" customHeight="1">
      <c r="B122" s="2"/>
      <c r="C122" s="2"/>
      <c r="D122" s="2"/>
      <c r="E122" s="2"/>
      <c r="F122" s="2"/>
      <c r="G122" s="2"/>
      <c r="H122" s="2"/>
      <c r="I122" s="2"/>
      <c r="J122" s="2"/>
      <c r="K122" s="2"/>
      <c r="L122" s="2"/>
      <c r="M122" s="2"/>
      <c r="N122" s="2"/>
      <c r="O122" s="2"/>
      <c r="P122" s="2"/>
      <c r="Q122" s="2"/>
      <c r="R122" s="3"/>
    </row>
    <row r="123" spans="2:18" ht="14.1" customHeight="1">
      <c r="B123" s="2"/>
      <c r="C123" s="2"/>
      <c r="D123" s="2"/>
      <c r="E123" s="2"/>
      <c r="F123" s="2"/>
      <c r="G123" s="2"/>
      <c r="H123" s="2"/>
      <c r="I123" s="2"/>
      <c r="J123" s="2"/>
      <c r="K123" s="2"/>
      <c r="L123" s="2"/>
      <c r="M123" s="2"/>
      <c r="N123" s="2"/>
      <c r="O123" s="2"/>
      <c r="P123" s="2"/>
      <c r="Q123" s="2"/>
      <c r="R123" s="3"/>
    </row>
    <row r="124" spans="2:18" ht="14.1" customHeight="1">
      <c r="B124" s="2"/>
      <c r="C124" s="2"/>
      <c r="D124" s="2"/>
      <c r="E124" s="2"/>
      <c r="F124" s="2"/>
      <c r="G124" s="2"/>
      <c r="H124" s="2"/>
      <c r="I124" s="2"/>
      <c r="J124" s="2"/>
      <c r="K124" s="2"/>
      <c r="L124" s="2"/>
      <c r="M124" s="2"/>
      <c r="N124" s="2"/>
      <c r="O124" s="2"/>
      <c r="P124" s="2"/>
      <c r="Q124" s="2"/>
      <c r="R124" s="3"/>
    </row>
    <row r="125" spans="2:18" ht="14.1" customHeight="1">
      <c r="B125" s="2"/>
      <c r="C125" s="2"/>
      <c r="D125" s="2"/>
      <c r="E125" s="2"/>
      <c r="F125" s="2"/>
      <c r="G125" s="2"/>
      <c r="H125" s="2"/>
      <c r="I125" s="2"/>
      <c r="J125" s="2"/>
      <c r="K125" s="2"/>
      <c r="L125" s="2"/>
      <c r="M125" s="2"/>
      <c r="N125" s="2"/>
      <c r="O125" s="2"/>
      <c r="P125" s="2"/>
      <c r="Q125" s="2"/>
      <c r="R125" s="3"/>
    </row>
    <row r="126" spans="2:18" ht="14.1" customHeight="1">
      <c r="B126" s="2"/>
      <c r="C126" s="2"/>
      <c r="D126" s="2"/>
      <c r="E126" s="2"/>
      <c r="F126" s="2"/>
      <c r="G126" s="2"/>
      <c r="H126" s="2"/>
      <c r="I126" s="2"/>
      <c r="J126" s="2"/>
      <c r="K126" s="2"/>
      <c r="L126" s="2"/>
      <c r="M126" s="2"/>
      <c r="N126" s="2"/>
      <c r="O126" s="2"/>
      <c r="P126" s="2"/>
      <c r="Q126" s="2"/>
      <c r="R126" s="3"/>
    </row>
    <row r="127" spans="2:18" ht="14.1" customHeight="1">
      <c r="B127" s="2"/>
      <c r="C127" s="2"/>
      <c r="D127" s="2"/>
      <c r="E127" s="2"/>
      <c r="F127" s="2"/>
      <c r="G127" s="2"/>
      <c r="H127" s="2"/>
      <c r="I127" s="2"/>
      <c r="J127" s="2"/>
      <c r="K127" s="2"/>
      <c r="L127" s="2"/>
      <c r="M127" s="2"/>
      <c r="N127" s="2"/>
      <c r="O127" s="2"/>
      <c r="P127" s="2"/>
      <c r="Q127" s="2"/>
      <c r="R127" s="3"/>
    </row>
    <row r="128" spans="2:18" ht="14.1" customHeight="1">
      <c r="B128" s="2"/>
      <c r="C128" s="2"/>
      <c r="D128" s="2"/>
      <c r="E128" s="2"/>
      <c r="F128" s="2"/>
      <c r="G128" s="2"/>
      <c r="H128" s="2"/>
      <c r="I128" s="2"/>
      <c r="J128" s="2"/>
      <c r="K128" s="2"/>
      <c r="L128" s="2"/>
      <c r="M128" s="2"/>
      <c r="N128" s="2"/>
      <c r="O128" s="2"/>
      <c r="P128" s="2"/>
      <c r="Q128" s="2"/>
      <c r="R128" s="3"/>
    </row>
    <row r="129" spans="2:18" ht="14.1" customHeight="1">
      <c r="B129" s="2"/>
      <c r="C129" s="2"/>
      <c r="D129" s="2"/>
      <c r="E129" s="2"/>
      <c r="F129" s="2"/>
      <c r="G129" s="2"/>
      <c r="H129" s="2"/>
      <c r="I129" s="2"/>
      <c r="J129" s="2"/>
      <c r="K129" s="2"/>
      <c r="L129" s="2"/>
      <c r="M129" s="2"/>
      <c r="N129" s="2"/>
      <c r="O129" s="2"/>
      <c r="P129" s="2"/>
      <c r="Q129" s="2"/>
      <c r="R129" s="3"/>
    </row>
    <row r="130" spans="2:18" ht="14.1" customHeight="1">
      <c r="B130" s="2"/>
      <c r="C130" s="2"/>
      <c r="D130" s="2"/>
      <c r="E130" s="2"/>
      <c r="F130" s="2"/>
      <c r="G130" s="2"/>
      <c r="H130" s="2"/>
      <c r="I130" s="2"/>
      <c r="J130" s="2"/>
      <c r="K130" s="2"/>
      <c r="L130" s="2"/>
      <c r="M130" s="2"/>
      <c r="N130" s="2"/>
      <c r="O130" s="2"/>
      <c r="P130" s="2"/>
      <c r="Q130" s="2"/>
      <c r="R130" s="3"/>
    </row>
    <row r="131" spans="2:18" ht="14.1" customHeight="1">
      <c r="B131" s="2"/>
      <c r="C131" s="2"/>
      <c r="D131" s="2"/>
      <c r="E131" s="2"/>
      <c r="F131" s="2"/>
      <c r="G131" s="2"/>
      <c r="H131" s="2"/>
      <c r="I131" s="2"/>
      <c r="J131" s="2"/>
      <c r="K131" s="2"/>
      <c r="L131" s="2"/>
      <c r="M131" s="2"/>
      <c r="N131" s="2"/>
      <c r="O131" s="2"/>
      <c r="P131" s="2"/>
      <c r="Q131" s="2"/>
      <c r="R131" s="3"/>
    </row>
    <row r="132" spans="2:18" ht="14.1" customHeight="1">
      <c r="B132" s="2"/>
      <c r="C132" s="2"/>
      <c r="D132" s="2"/>
      <c r="E132" s="2"/>
      <c r="F132" s="2"/>
      <c r="G132" s="2"/>
      <c r="H132" s="2"/>
      <c r="I132" s="2"/>
      <c r="J132" s="2"/>
      <c r="K132" s="2"/>
      <c r="L132" s="2"/>
      <c r="M132" s="2"/>
      <c r="N132" s="2"/>
      <c r="O132" s="2"/>
      <c r="P132" s="2"/>
      <c r="Q132" s="2"/>
      <c r="R132" s="3"/>
    </row>
    <row r="133" spans="2:18" ht="14.1" customHeight="1">
      <c r="B133" s="2"/>
      <c r="C133" s="2"/>
      <c r="D133" s="2"/>
      <c r="E133" s="2"/>
      <c r="F133" s="2"/>
      <c r="G133" s="2"/>
      <c r="H133" s="2"/>
      <c r="I133" s="2"/>
      <c r="J133" s="2"/>
      <c r="K133" s="2"/>
      <c r="L133" s="2"/>
      <c r="M133" s="2"/>
      <c r="N133" s="2"/>
      <c r="O133" s="2"/>
      <c r="P133" s="2"/>
      <c r="Q133" s="2"/>
      <c r="R133" s="3"/>
    </row>
    <row r="134" spans="2:18" ht="14.1" customHeight="1">
      <c r="B134" s="2"/>
      <c r="C134" s="2"/>
      <c r="D134" s="2"/>
      <c r="E134" s="2"/>
      <c r="F134" s="2"/>
      <c r="G134" s="2"/>
      <c r="H134" s="2"/>
      <c r="I134" s="2"/>
      <c r="J134" s="2"/>
      <c r="K134" s="2"/>
      <c r="L134" s="2"/>
      <c r="M134" s="2"/>
      <c r="N134" s="2"/>
      <c r="O134" s="2"/>
      <c r="P134" s="2"/>
      <c r="Q134" s="2"/>
      <c r="R134" s="3"/>
    </row>
    <row r="135" spans="2:18" ht="14.1" customHeight="1">
      <c r="B135" s="2"/>
      <c r="C135" s="2"/>
      <c r="D135" s="2"/>
      <c r="E135" s="2"/>
      <c r="F135" s="2"/>
      <c r="G135" s="2"/>
      <c r="H135" s="2"/>
      <c r="I135" s="2"/>
      <c r="J135" s="2"/>
      <c r="K135" s="2"/>
      <c r="L135" s="2"/>
      <c r="M135" s="2"/>
      <c r="N135" s="2"/>
      <c r="O135" s="2"/>
      <c r="P135" s="2"/>
      <c r="Q135" s="2"/>
      <c r="R135" s="3"/>
    </row>
    <row r="136" spans="2:18" ht="14.1" customHeight="1">
      <c r="B136" s="2"/>
      <c r="C136" s="2"/>
      <c r="D136" s="2"/>
      <c r="E136" s="2"/>
      <c r="F136" s="2"/>
      <c r="G136" s="2"/>
      <c r="H136" s="2"/>
      <c r="I136" s="2"/>
      <c r="J136" s="2"/>
      <c r="K136" s="2"/>
      <c r="L136" s="2"/>
      <c r="M136" s="2"/>
      <c r="N136" s="2"/>
      <c r="O136" s="2"/>
      <c r="P136" s="2"/>
      <c r="Q136" s="2"/>
      <c r="R136" s="3"/>
    </row>
    <row r="137" spans="2:18" ht="14.1" customHeight="1">
      <c r="B137" s="2"/>
      <c r="C137" s="2"/>
      <c r="D137" s="2"/>
      <c r="E137" s="2"/>
      <c r="F137" s="2"/>
      <c r="G137" s="2"/>
      <c r="H137" s="2"/>
      <c r="I137" s="2"/>
      <c r="J137" s="2"/>
      <c r="K137" s="2"/>
      <c r="L137" s="2"/>
      <c r="M137" s="2"/>
      <c r="N137" s="2"/>
      <c r="O137" s="2"/>
      <c r="P137" s="2"/>
      <c r="Q137" s="2"/>
      <c r="R137" s="3"/>
    </row>
    <row r="138" spans="2:18" ht="14.1" customHeight="1">
      <c r="B138" s="2"/>
      <c r="C138" s="2"/>
      <c r="D138" s="2"/>
      <c r="E138" s="2"/>
      <c r="F138" s="2"/>
      <c r="G138" s="2"/>
      <c r="H138" s="2"/>
      <c r="I138" s="2"/>
      <c r="J138" s="2"/>
      <c r="K138" s="2"/>
      <c r="L138" s="2"/>
      <c r="M138" s="2"/>
      <c r="N138" s="2"/>
      <c r="O138" s="2"/>
      <c r="P138" s="2"/>
      <c r="Q138" s="2"/>
      <c r="R138" s="3"/>
    </row>
    <row r="139" spans="2:18" ht="14.1" customHeight="1">
      <c r="B139" s="2"/>
      <c r="C139" s="2"/>
      <c r="D139" s="2"/>
      <c r="E139" s="2"/>
      <c r="F139" s="2"/>
      <c r="G139" s="2"/>
      <c r="H139" s="2"/>
      <c r="I139" s="2"/>
      <c r="J139" s="2"/>
      <c r="K139" s="2"/>
      <c r="L139" s="2"/>
      <c r="M139" s="2"/>
      <c r="N139" s="2"/>
      <c r="O139" s="2"/>
      <c r="P139" s="2"/>
      <c r="Q139" s="2"/>
      <c r="R139" s="3"/>
    </row>
    <row r="140" spans="2:18" ht="14.1" customHeight="1">
      <c r="B140" s="2"/>
      <c r="C140" s="2"/>
      <c r="D140" s="2"/>
      <c r="E140" s="2"/>
      <c r="F140" s="2"/>
      <c r="G140" s="2"/>
      <c r="H140" s="2"/>
      <c r="I140" s="2"/>
      <c r="J140" s="2"/>
      <c r="K140" s="2"/>
      <c r="L140" s="2"/>
      <c r="M140" s="2"/>
      <c r="N140" s="2"/>
      <c r="O140" s="2"/>
      <c r="P140" s="2"/>
      <c r="Q140" s="2"/>
      <c r="R140" s="3"/>
    </row>
    <row r="141" spans="2:18" ht="14.1" customHeight="1">
      <c r="B141" s="2"/>
      <c r="C141" s="2"/>
      <c r="D141" s="2"/>
      <c r="E141" s="2"/>
      <c r="F141" s="2"/>
      <c r="G141" s="2"/>
      <c r="H141" s="2"/>
      <c r="I141" s="2"/>
      <c r="J141" s="2"/>
      <c r="K141" s="2"/>
      <c r="L141" s="2"/>
      <c r="M141" s="2"/>
      <c r="N141" s="2"/>
      <c r="O141" s="2"/>
      <c r="P141" s="2"/>
      <c r="Q141" s="2"/>
      <c r="R141" s="3"/>
    </row>
    <row r="142" spans="2:18" ht="14.1" customHeight="1">
      <c r="B142" s="2"/>
      <c r="C142" s="2"/>
      <c r="D142" s="2"/>
      <c r="E142" s="2"/>
      <c r="F142" s="2"/>
      <c r="G142" s="2"/>
      <c r="H142" s="2"/>
      <c r="I142" s="2"/>
      <c r="J142" s="2"/>
      <c r="K142" s="2"/>
      <c r="L142" s="2"/>
      <c r="M142" s="2"/>
      <c r="N142" s="2"/>
      <c r="O142" s="2"/>
      <c r="P142" s="2"/>
      <c r="Q142" s="2"/>
      <c r="R142" s="3"/>
    </row>
    <row r="143" spans="2:18" ht="14.1" customHeight="1">
      <c r="B143" s="2"/>
      <c r="C143" s="2"/>
      <c r="D143" s="2"/>
      <c r="E143" s="2"/>
      <c r="F143" s="2"/>
      <c r="G143" s="2"/>
      <c r="H143" s="2"/>
      <c r="I143" s="2"/>
      <c r="J143" s="2"/>
      <c r="K143" s="2"/>
      <c r="L143" s="2"/>
      <c r="M143" s="2"/>
      <c r="N143" s="2"/>
      <c r="O143" s="2"/>
      <c r="P143" s="2"/>
      <c r="Q143" s="2"/>
      <c r="R143" s="3"/>
    </row>
    <row r="144" spans="2:18" ht="14.1" customHeight="1">
      <c r="B144" s="2"/>
      <c r="C144" s="2"/>
      <c r="D144" s="2"/>
      <c r="E144" s="2"/>
      <c r="F144" s="2"/>
      <c r="G144" s="2"/>
      <c r="H144" s="2"/>
      <c r="I144" s="2"/>
      <c r="J144" s="2"/>
      <c r="K144" s="2"/>
      <c r="L144" s="2"/>
      <c r="M144" s="2"/>
      <c r="N144" s="2"/>
      <c r="O144" s="2"/>
      <c r="P144" s="2"/>
      <c r="Q144" s="2"/>
      <c r="R144" s="3"/>
    </row>
    <row r="145" spans="2:18" ht="14.1" customHeight="1">
      <c r="B145" s="2"/>
      <c r="C145" s="2"/>
      <c r="D145" s="2"/>
      <c r="E145" s="2"/>
      <c r="F145" s="2"/>
      <c r="G145" s="2"/>
      <c r="H145" s="2"/>
      <c r="I145" s="2"/>
      <c r="J145" s="2"/>
      <c r="K145" s="2"/>
      <c r="L145" s="2"/>
      <c r="M145" s="2"/>
      <c r="N145" s="2"/>
      <c r="O145" s="2"/>
      <c r="P145" s="2"/>
      <c r="Q145" s="2"/>
      <c r="R145" s="3"/>
    </row>
    <row r="146" spans="2:18" ht="14.1" customHeight="1">
      <c r="B146" s="2"/>
      <c r="C146" s="2"/>
      <c r="D146" s="2"/>
      <c r="E146" s="2"/>
      <c r="F146" s="2"/>
      <c r="G146" s="2"/>
      <c r="H146" s="2"/>
      <c r="I146" s="2"/>
      <c r="J146" s="2"/>
      <c r="K146" s="2"/>
      <c r="L146" s="2"/>
      <c r="M146" s="2"/>
      <c r="N146" s="2"/>
      <c r="O146" s="2"/>
      <c r="P146" s="2"/>
      <c r="Q146" s="2"/>
      <c r="R146" s="3"/>
    </row>
    <row r="147" spans="2:18" ht="14.1" customHeight="1">
      <c r="B147" s="2"/>
      <c r="C147" s="2"/>
      <c r="D147" s="2"/>
      <c r="E147" s="2"/>
      <c r="F147" s="2"/>
      <c r="G147" s="2"/>
      <c r="H147" s="2"/>
      <c r="I147" s="2"/>
      <c r="J147" s="2"/>
      <c r="K147" s="2"/>
      <c r="L147" s="2"/>
      <c r="M147" s="2"/>
      <c r="N147" s="2"/>
      <c r="O147" s="2"/>
      <c r="P147" s="2"/>
      <c r="Q147" s="2"/>
      <c r="R147" s="3"/>
    </row>
    <row r="148" spans="2:18" ht="14.1" customHeight="1">
      <c r="B148" s="2"/>
      <c r="C148" s="2"/>
      <c r="D148" s="2"/>
      <c r="E148" s="2"/>
      <c r="F148" s="2"/>
      <c r="G148" s="2"/>
      <c r="H148" s="2"/>
      <c r="I148" s="2"/>
      <c r="J148" s="2"/>
      <c r="K148" s="2"/>
      <c r="L148" s="2"/>
      <c r="M148" s="2"/>
      <c r="N148" s="2"/>
      <c r="O148" s="2"/>
      <c r="P148" s="2"/>
      <c r="Q148" s="2"/>
      <c r="R148" s="3"/>
    </row>
    <row r="149" spans="2:18" ht="14.1" customHeight="1">
      <c r="B149" s="2"/>
      <c r="C149" s="2"/>
      <c r="D149" s="2"/>
      <c r="E149" s="2"/>
      <c r="F149" s="2"/>
      <c r="G149" s="2"/>
      <c r="H149" s="2"/>
      <c r="I149" s="2"/>
      <c r="J149" s="2"/>
      <c r="K149" s="2"/>
      <c r="L149" s="2"/>
      <c r="M149" s="2"/>
      <c r="N149" s="2"/>
      <c r="O149" s="2"/>
      <c r="P149" s="2"/>
      <c r="Q149" s="2"/>
      <c r="R149" s="3"/>
    </row>
    <row r="150" spans="2:18" ht="14.1" customHeight="1">
      <c r="B150" s="2"/>
      <c r="C150" s="2"/>
      <c r="D150" s="2"/>
      <c r="E150" s="2"/>
      <c r="F150" s="2"/>
      <c r="G150" s="2"/>
      <c r="H150" s="2"/>
      <c r="I150" s="2"/>
      <c r="J150" s="2"/>
      <c r="K150" s="2"/>
      <c r="L150" s="2"/>
      <c r="M150" s="2"/>
      <c r="N150" s="2"/>
      <c r="O150" s="2"/>
      <c r="P150" s="2"/>
      <c r="Q150" s="2"/>
      <c r="R150" s="3"/>
    </row>
    <row r="151" spans="2:18" ht="14.1" customHeight="1">
      <c r="B151" s="2"/>
      <c r="C151" s="2"/>
      <c r="D151" s="2"/>
      <c r="E151" s="2"/>
      <c r="F151" s="2"/>
      <c r="G151" s="2"/>
      <c r="H151" s="2"/>
      <c r="I151" s="2"/>
      <c r="J151" s="2"/>
      <c r="K151" s="2"/>
      <c r="L151" s="2"/>
      <c r="M151" s="2"/>
      <c r="N151" s="2"/>
      <c r="O151" s="2"/>
      <c r="P151" s="2"/>
      <c r="Q151" s="2"/>
      <c r="R151" s="3"/>
    </row>
    <row r="152" spans="2:18" ht="14.1" customHeight="1">
      <c r="B152" s="2"/>
      <c r="C152" s="2"/>
      <c r="D152" s="2"/>
      <c r="E152" s="2"/>
      <c r="F152" s="2"/>
      <c r="G152" s="2"/>
      <c r="H152" s="2"/>
      <c r="I152" s="2"/>
      <c r="J152" s="2"/>
      <c r="K152" s="2"/>
      <c r="L152" s="2"/>
      <c r="M152" s="2"/>
      <c r="N152" s="2"/>
      <c r="O152" s="2"/>
      <c r="P152" s="2"/>
      <c r="Q152" s="2"/>
      <c r="R152" s="3"/>
    </row>
    <row r="153" spans="2:18" ht="14.1" customHeight="1">
      <c r="B153" s="2"/>
      <c r="C153" s="2"/>
      <c r="D153" s="2"/>
      <c r="E153" s="2"/>
      <c r="F153" s="2"/>
      <c r="G153" s="2"/>
      <c r="H153" s="2"/>
      <c r="I153" s="2"/>
      <c r="J153" s="2"/>
      <c r="K153" s="2"/>
      <c r="L153" s="2"/>
      <c r="M153" s="2"/>
      <c r="N153" s="2"/>
      <c r="O153" s="2"/>
      <c r="P153" s="2"/>
      <c r="Q153" s="2"/>
      <c r="R153" s="3"/>
    </row>
    <row r="154" spans="2:18" ht="14.1" customHeight="1">
      <c r="B154" s="2"/>
      <c r="C154" s="2"/>
      <c r="D154" s="2"/>
      <c r="E154" s="2"/>
      <c r="F154" s="2"/>
      <c r="G154" s="2"/>
      <c r="H154" s="2"/>
      <c r="I154" s="2"/>
      <c r="J154" s="2"/>
      <c r="K154" s="2"/>
      <c r="L154" s="2"/>
      <c r="M154" s="2"/>
      <c r="N154" s="2"/>
      <c r="O154" s="2"/>
      <c r="P154" s="2"/>
      <c r="Q154" s="2"/>
      <c r="R154" s="3"/>
    </row>
    <row r="155" spans="2:18" ht="14.1" customHeight="1">
      <c r="B155" s="2"/>
      <c r="C155" s="2"/>
      <c r="D155" s="2"/>
      <c r="E155" s="2"/>
      <c r="F155" s="2"/>
      <c r="G155" s="2"/>
      <c r="H155" s="2"/>
      <c r="I155" s="2"/>
      <c r="J155" s="2"/>
      <c r="K155" s="2"/>
      <c r="L155" s="2"/>
      <c r="M155" s="2"/>
      <c r="N155" s="2"/>
      <c r="O155" s="2"/>
      <c r="P155" s="2"/>
      <c r="Q155" s="2"/>
      <c r="R155" s="3"/>
    </row>
    <row r="156" spans="2:18" ht="14.1" customHeight="1">
      <c r="B156" s="2"/>
      <c r="C156" s="2"/>
      <c r="D156" s="2"/>
      <c r="E156" s="2"/>
      <c r="F156" s="2"/>
      <c r="G156" s="2"/>
      <c r="H156" s="2"/>
      <c r="I156" s="2"/>
      <c r="J156" s="2"/>
      <c r="K156" s="2"/>
      <c r="L156" s="2"/>
      <c r="M156" s="2"/>
      <c r="N156" s="2"/>
      <c r="O156" s="2"/>
      <c r="P156" s="2"/>
      <c r="Q156" s="2"/>
      <c r="R156" s="3"/>
    </row>
    <row r="157" spans="2:18" ht="14.1" customHeight="1">
      <c r="B157" s="2"/>
      <c r="C157" s="2"/>
      <c r="D157" s="2"/>
      <c r="E157" s="2"/>
      <c r="F157" s="2"/>
      <c r="G157" s="2"/>
      <c r="H157" s="2"/>
      <c r="I157" s="2"/>
      <c r="J157" s="2"/>
      <c r="K157" s="2"/>
      <c r="L157" s="2"/>
      <c r="M157" s="2"/>
      <c r="N157" s="2"/>
      <c r="O157" s="2"/>
      <c r="P157" s="2"/>
      <c r="Q157" s="2"/>
      <c r="R157" s="3"/>
    </row>
    <row r="158" spans="2:18" ht="14.1" customHeight="1">
      <c r="B158" s="2"/>
      <c r="C158" s="2"/>
      <c r="D158" s="2"/>
      <c r="E158" s="2"/>
      <c r="F158" s="2"/>
      <c r="G158" s="2"/>
      <c r="H158" s="2"/>
      <c r="I158" s="2"/>
      <c r="J158" s="2"/>
      <c r="K158" s="2"/>
      <c r="L158" s="2"/>
      <c r="M158" s="2"/>
      <c r="N158" s="2"/>
      <c r="O158" s="2"/>
      <c r="P158" s="2"/>
      <c r="Q158" s="2"/>
      <c r="R158" s="3"/>
    </row>
    <row r="159" spans="2:18" ht="14.1" customHeight="1">
      <c r="B159" s="2"/>
      <c r="C159" s="2"/>
      <c r="D159" s="2"/>
      <c r="E159" s="2"/>
      <c r="F159" s="2"/>
      <c r="G159" s="2"/>
      <c r="H159" s="2"/>
      <c r="I159" s="2"/>
      <c r="J159" s="2"/>
      <c r="K159" s="2"/>
      <c r="L159" s="2"/>
      <c r="M159" s="2"/>
      <c r="N159" s="2"/>
      <c r="O159" s="2"/>
      <c r="P159" s="2"/>
      <c r="Q159" s="2"/>
      <c r="R159" s="3"/>
    </row>
    <row r="160" spans="2:18" ht="14.1" customHeight="1">
      <c r="B160" s="2"/>
      <c r="C160" s="2"/>
      <c r="D160" s="2"/>
      <c r="E160" s="2"/>
      <c r="F160" s="2"/>
      <c r="G160" s="2"/>
      <c r="H160" s="2"/>
      <c r="I160" s="2"/>
      <c r="J160" s="2"/>
      <c r="K160" s="2"/>
      <c r="L160" s="2"/>
      <c r="M160" s="2"/>
      <c r="N160" s="2"/>
      <c r="O160" s="2"/>
      <c r="P160" s="2"/>
      <c r="Q160" s="2"/>
      <c r="R160" s="3"/>
    </row>
    <row r="161" spans="2:18" ht="14.1" customHeight="1">
      <c r="B161" s="2"/>
      <c r="C161" s="2"/>
      <c r="D161" s="2"/>
      <c r="E161" s="2"/>
      <c r="F161" s="2"/>
      <c r="G161" s="2"/>
      <c r="H161" s="2"/>
      <c r="I161" s="2"/>
      <c r="J161" s="2"/>
      <c r="K161" s="2"/>
      <c r="L161" s="2"/>
      <c r="M161" s="2"/>
      <c r="N161" s="2"/>
      <c r="O161" s="2"/>
      <c r="P161" s="2"/>
      <c r="Q161" s="2"/>
      <c r="R161" s="3"/>
    </row>
    <row r="162" spans="2:18" ht="14.1" customHeight="1">
      <c r="B162" s="2"/>
      <c r="C162" s="2"/>
      <c r="D162" s="2"/>
      <c r="E162" s="2"/>
      <c r="F162" s="2"/>
      <c r="G162" s="2"/>
      <c r="H162" s="2"/>
      <c r="I162" s="2"/>
      <c r="J162" s="2"/>
      <c r="K162" s="2"/>
      <c r="L162" s="2"/>
      <c r="M162" s="2"/>
      <c r="N162" s="2"/>
      <c r="O162" s="2"/>
      <c r="P162" s="2"/>
      <c r="Q162" s="2"/>
      <c r="R162" s="3"/>
    </row>
    <row r="163" spans="2:18" ht="14.1" customHeight="1">
      <c r="B163" s="2"/>
      <c r="C163" s="2"/>
      <c r="D163" s="2"/>
      <c r="E163" s="2"/>
      <c r="F163" s="2"/>
      <c r="G163" s="2"/>
      <c r="H163" s="2"/>
      <c r="I163" s="2"/>
      <c r="J163" s="2"/>
      <c r="K163" s="2"/>
      <c r="L163" s="2"/>
      <c r="M163" s="2"/>
      <c r="N163" s="2"/>
      <c r="O163" s="2"/>
      <c r="P163" s="2"/>
      <c r="Q163" s="2"/>
      <c r="R163" s="3"/>
    </row>
    <row r="164" spans="2:18" ht="14.1" customHeight="1">
      <c r="B164" s="2"/>
      <c r="C164" s="2"/>
      <c r="D164" s="2"/>
      <c r="E164" s="2"/>
      <c r="F164" s="2"/>
      <c r="G164" s="2"/>
      <c r="H164" s="2"/>
      <c r="I164" s="2"/>
      <c r="J164" s="2"/>
      <c r="K164" s="2"/>
      <c r="L164" s="2"/>
      <c r="M164" s="2"/>
      <c r="N164" s="2"/>
      <c r="O164" s="2"/>
      <c r="P164" s="2"/>
      <c r="Q164" s="2"/>
      <c r="R164" s="3"/>
    </row>
    <row r="165" spans="2:18" ht="14.1" customHeight="1">
      <c r="B165" s="2"/>
      <c r="C165" s="2"/>
      <c r="D165" s="2"/>
      <c r="E165" s="2"/>
      <c r="F165" s="2"/>
      <c r="G165" s="2"/>
      <c r="H165" s="2"/>
      <c r="I165" s="2"/>
      <c r="J165" s="2"/>
      <c r="K165" s="2"/>
      <c r="L165" s="2"/>
      <c r="M165" s="2"/>
      <c r="N165" s="2"/>
      <c r="O165" s="2"/>
      <c r="P165" s="2"/>
      <c r="Q165" s="2"/>
      <c r="R165" s="3"/>
    </row>
    <row r="166" spans="2:18" ht="14.1" customHeight="1">
      <c r="B166" s="2"/>
      <c r="C166" s="2"/>
      <c r="D166" s="2"/>
      <c r="E166" s="2"/>
      <c r="F166" s="2"/>
      <c r="G166" s="2"/>
      <c r="H166" s="2"/>
      <c r="I166" s="2"/>
      <c r="J166" s="2"/>
      <c r="K166" s="2"/>
      <c r="L166" s="2"/>
      <c r="M166" s="2"/>
      <c r="N166" s="2"/>
      <c r="O166" s="2"/>
      <c r="P166" s="2"/>
      <c r="Q166" s="2"/>
      <c r="R166" s="3"/>
    </row>
    <row r="167" spans="2:18" ht="14.1" customHeight="1">
      <c r="B167" s="2"/>
      <c r="C167" s="2"/>
      <c r="D167" s="2"/>
      <c r="E167" s="2"/>
      <c r="F167" s="2"/>
      <c r="G167" s="2"/>
      <c r="H167" s="2"/>
      <c r="I167" s="2"/>
      <c r="J167" s="2"/>
      <c r="K167" s="2"/>
      <c r="L167" s="2"/>
      <c r="M167" s="2"/>
      <c r="N167" s="2"/>
      <c r="O167" s="2"/>
      <c r="P167" s="2"/>
      <c r="Q167" s="2"/>
      <c r="R167" s="3"/>
    </row>
    <row r="168" spans="2:18" ht="14.1" customHeight="1">
      <c r="B168" s="2"/>
      <c r="C168" s="2"/>
      <c r="D168" s="2"/>
      <c r="E168" s="2"/>
      <c r="F168" s="2"/>
      <c r="G168" s="2"/>
      <c r="H168" s="2"/>
      <c r="I168" s="2"/>
      <c r="J168" s="2"/>
      <c r="K168" s="2"/>
      <c r="L168" s="2"/>
      <c r="M168" s="2"/>
      <c r="N168" s="2"/>
      <c r="O168" s="2"/>
      <c r="P168" s="2"/>
      <c r="Q168" s="2"/>
      <c r="R168" s="3"/>
    </row>
    <row r="169" spans="2:18" ht="14.1" customHeight="1">
      <c r="B169" s="2"/>
      <c r="C169" s="2"/>
      <c r="D169" s="2"/>
      <c r="E169" s="2"/>
      <c r="F169" s="2"/>
      <c r="G169" s="2"/>
      <c r="H169" s="2"/>
      <c r="I169" s="2"/>
      <c r="J169" s="2"/>
      <c r="K169" s="2"/>
      <c r="L169" s="2"/>
      <c r="M169" s="2"/>
      <c r="N169" s="2"/>
      <c r="O169" s="2"/>
      <c r="P169" s="2"/>
      <c r="Q169" s="2"/>
      <c r="R169" s="3"/>
    </row>
    <row r="170" spans="2:18" ht="14.1" customHeight="1">
      <c r="B170" s="2"/>
      <c r="C170" s="2"/>
      <c r="D170" s="2"/>
      <c r="E170" s="2"/>
      <c r="F170" s="2"/>
      <c r="G170" s="2"/>
      <c r="H170" s="2"/>
      <c r="I170" s="2"/>
      <c r="J170" s="2"/>
      <c r="K170" s="2"/>
      <c r="L170" s="2"/>
      <c r="M170" s="2"/>
      <c r="N170" s="2"/>
      <c r="O170" s="2"/>
      <c r="P170" s="2"/>
      <c r="Q170" s="2"/>
      <c r="R170" s="3"/>
    </row>
    <row r="171" spans="2:18" ht="14.1" customHeight="1">
      <c r="B171" s="2"/>
      <c r="C171" s="2"/>
      <c r="D171" s="2"/>
      <c r="E171" s="2"/>
      <c r="F171" s="2"/>
      <c r="G171" s="2"/>
      <c r="H171" s="2"/>
      <c r="I171" s="2"/>
      <c r="J171" s="2"/>
      <c r="K171" s="2"/>
      <c r="L171" s="2"/>
      <c r="M171" s="2"/>
      <c r="N171" s="2"/>
      <c r="O171" s="2"/>
      <c r="P171" s="2"/>
      <c r="Q171" s="2"/>
      <c r="R171" s="3"/>
    </row>
    <row r="172" spans="2:18" ht="14.1" customHeight="1">
      <c r="B172" s="2"/>
      <c r="C172" s="2"/>
      <c r="D172" s="2"/>
      <c r="E172" s="2"/>
      <c r="F172" s="2"/>
      <c r="G172" s="2"/>
      <c r="H172" s="2"/>
      <c r="I172" s="2"/>
      <c r="J172" s="2"/>
      <c r="K172" s="2"/>
      <c r="L172" s="2"/>
      <c r="M172" s="2"/>
      <c r="N172" s="2"/>
      <c r="O172" s="2"/>
      <c r="P172" s="2"/>
      <c r="Q172" s="2"/>
      <c r="R172" s="3"/>
    </row>
    <row r="173" spans="2:18" ht="14.1" customHeight="1">
      <c r="B173" s="2"/>
      <c r="C173" s="2"/>
      <c r="D173" s="2"/>
      <c r="E173" s="2"/>
      <c r="F173" s="2"/>
      <c r="G173" s="2"/>
      <c r="H173" s="2"/>
      <c r="I173" s="2"/>
      <c r="J173" s="2"/>
      <c r="K173" s="2"/>
      <c r="L173" s="2"/>
      <c r="M173" s="2"/>
      <c r="N173" s="2"/>
      <c r="O173" s="2"/>
      <c r="P173" s="2"/>
      <c r="Q173" s="2"/>
      <c r="R173" s="3"/>
    </row>
    <row r="174" spans="2:18" ht="14.1" customHeight="1">
      <c r="B174" s="2"/>
      <c r="C174" s="2"/>
      <c r="D174" s="2"/>
      <c r="E174" s="2"/>
      <c r="F174" s="2"/>
      <c r="G174" s="2"/>
      <c r="H174" s="2"/>
      <c r="I174" s="2"/>
      <c r="J174" s="2"/>
      <c r="K174" s="2"/>
      <c r="L174" s="2"/>
      <c r="M174" s="2"/>
      <c r="N174" s="2"/>
      <c r="O174" s="2"/>
      <c r="P174" s="2"/>
      <c r="Q174" s="2"/>
      <c r="R174" s="3"/>
    </row>
    <row r="175" spans="2:18" ht="14.1" customHeight="1">
      <c r="B175" s="2"/>
      <c r="C175" s="2"/>
      <c r="D175" s="2"/>
      <c r="E175" s="2"/>
      <c r="F175" s="2"/>
      <c r="G175" s="2"/>
      <c r="H175" s="2"/>
      <c r="I175" s="2"/>
      <c r="J175" s="2"/>
      <c r="K175" s="2"/>
      <c r="L175" s="2"/>
      <c r="M175" s="2"/>
      <c r="N175" s="2"/>
      <c r="O175" s="2"/>
      <c r="P175" s="2"/>
      <c r="Q175" s="2"/>
      <c r="R175" s="3"/>
    </row>
    <row r="176" spans="2:18" ht="14.1" customHeight="1">
      <c r="B176" s="2"/>
      <c r="C176" s="2"/>
      <c r="D176" s="2"/>
      <c r="E176" s="2"/>
      <c r="F176" s="2"/>
      <c r="G176" s="2"/>
      <c r="H176" s="2"/>
      <c r="I176" s="2"/>
      <c r="J176" s="2"/>
      <c r="K176" s="2"/>
      <c r="L176" s="2"/>
      <c r="M176" s="2"/>
      <c r="N176" s="2"/>
      <c r="O176" s="2"/>
      <c r="P176" s="2"/>
      <c r="Q176" s="2"/>
      <c r="R176" s="3"/>
    </row>
    <row r="177" spans="2:18" ht="14.1" customHeight="1">
      <c r="B177" s="2"/>
      <c r="C177" s="2"/>
      <c r="D177" s="2"/>
      <c r="E177" s="2"/>
      <c r="F177" s="2"/>
      <c r="G177" s="2"/>
      <c r="H177" s="2"/>
      <c r="I177" s="2"/>
      <c r="J177" s="2"/>
      <c r="K177" s="2"/>
      <c r="L177" s="2"/>
      <c r="M177" s="2"/>
      <c r="N177" s="2"/>
      <c r="O177" s="2"/>
      <c r="P177" s="2"/>
      <c r="Q177" s="2"/>
      <c r="R177" s="3"/>
    </row>
    <row r="178" spans="2:18" ht="14.1" customHeight="1">
      <c r="B178" s="2"/>
      <c r="C178" s="2"/>
      <c r="D178" s="2"/>
      <c r="E178" s="2"/>
      <c r="F178" s="2"/>
      <c r="G178" s="2"/>
      <c r="H178" s="2"/>
      <c r="I178" s="2"/>
      <c r="J178" s="2"/>
      <c r="K178" s="2"/>
      <c r="L178" s="2"/>
      <c r="M178" s="2"/>
      <c r="N178" s="2"/>
      <c r="O178" s="2"/>
      <c r="P178" s="2"/>
      <c r="Q178" s="2"/>
      <c r="R178" s="3"/>
    </row>
    <row r="179" spans="2:18" ht="14.1" customHeight="1">
      <c r="B179" s="2"/>
      <c r="C179" s="2"/>
      <c r="D179" s="2"/>
      <c r="E179" s="2"/>
      <c r="F179" s="2"/>
      <c r="G179" s="2"/>
      <c r="H179" s="2"/>
      <c r="I179" s="2"/>
      <c r="J179" s="2"/>
      <c r="K179" s="2"/>
      <c r="L179" s="2"/>
      <c r="M179" s="2"/>
      <c r="N179" s="2"/>
      <c r="O179" s="2"/>
      <c r="P179" s="2"/>
      <c r="Q179" s="2"/>
      <c r="R179" s="3"/>
    </row>
    <row r="180" spans="2:18" ht="14.1" customHeight="1">
      <c r="B180" s="2"/>
      <c r="C180" s="2"/>
      <c r="D180" s="2"/>
      <c r="E180" s="2"/>
      <c r="F180" s="2"/>
      <c r="G180" s="2"/>
      <c r="H180" s="2"/>
      <c r="I180" s="2"/>
      <c r="J180" s="2"/>
      <c r="K180" s="2"/>
      <c r="L180" s="2"/>
      <c r="M180" s="2"/>
      <c r="N180" s="2"/>
      <c r="O180" s="2"/>
      <c r="P180" s="2"/>
      <c r="Q180" s="2"/>
      <c r="R180" s="3"/>
    </row>
    <row r="181" spans="2:18" ht="14.1" customHeight="1">
      <c r="B181" s="2"/>
      <c r="C181" s="2"/>
      <c r="D181" s="2"/>
      <c r="E181" s="2"/>
      <c r="F181" s="2"/>
      <c r="G181" s="2"/>
      <c r="H181" s="2"/>
      <c r="I181" s="2"/>
      <c r="J181" s="2"/>
      <c r="K181" s="2"/>
      <c r="L181" s="2"/>
      <c r="M181" s="2"/>
      <c r="N181" s="2"/>
      <c r="O181" s="2"/>
      <c r="P181" s="2"/>
      <c r="Q181" s="2"/>
      <c r="R181" s="3"/>
    </row>
    <row r="182" spans="2:18" ht="14.1" customHeight="1">
      <c r="B182" s="2"/>
      <c r="C182" s="2"/>
      <c r="D182" s="2"/>
      <c r="E182" s="2"/>
      <c r="F182" s="2"/>
      <c r="G182" s="2"/>
      <c r="H182" s="2"/>
      <c r="I182" s="2"/>
      <c r="J182" s="2"/>
      <c r="K182" s="2"/>
      <c r="L182" s="2"/>
      <c r="M182" s="2"/>
      <c r="N182" s="2"/>
      <c r="O182" s="2"/>
      <c r="P182" s="2"/>
      <c r="Q182" s="2"/>
      <c r="R182" s="3"/>
    </row>
    <row r="183" spans="2:18" ht="14.1" customHeight="1">
      <c r="B183" s="2"/>
      <c r="C183" s="2"/>
      <c r="D183" s="2"/>
      <c r="E183" s="2"/>
      <c r="F183" s="2"/>
      <c r="G183" s="2"/>
      <c r="H183" s="2"/>
      <c r="I183" s="2"/>
      <c r="J183" s="2"/>
      <c r="K183" s="2"/>
      <c r="L183" s="2"/>
      <c r="M183" s="2"/>
      <c r="N183" s="2"/>
      <c r="O183" s="2"/>
      <c r="P183" s="2"/>
      <c r="Q183" s="2"/>
      <c r="R183" s="3"/>
    </row>
    <row r="184" spans="2:18" ht="14.1" customHeight="1">
      <c r="B184" s="2"/>
      <c r="C184" s="2"/>
      <c r="D184" s="2"/>
      <c r="E184" s="2"/>
      <c r="F184" s="2"/>
      <c r="G184" s="2"/>
      <c r="H184" s="2"/>
      <c r="I184" s="2"/>
      <c r="J184" s="2"/>
      <c r="K184" s="2"/>
      <c r="L184" s="2"/>
      <c r="M184" s="2"/>
      <c r="N184" s="2"/>
      <c r="O184" s="2"/>
      <c r="P184" s="2"/>
      <c r="Q184" s="2"/>
      <c r="R184" s="3"/>
    </row>
    <row r="185" spans="2:18" ht="14.1" customHeight="1">
      <c r="B185" s="2"/>
      <c r="C185" s="2"/>
      <c r="D185" s="2"/>
      <c r="E185" s="2"/>
      <c r="F185" s="2"/>
      <c r="G185" s="2"/>
      <c r="H185" s="2"/>
      <c r="I185" s="2"/>
      <c r="J185" s="2"/>
      <c r="K185" s="2"/>
      <c r="L185" s="2"/>
      <c r="M185" s="2"/>
      <c r="N185" s="2"/>
      <c r="O185" s="2"/>
      <c r="P185" s="2"/>
      <c r="Q185" s="2"/>
      <c r="R185" s="3"/>
    </row>
    <row r="186" spans="2:18" ht="14.1" customHeight="1">
      <c r="B186" s="2"/>
      <c r="C186" s="2"/>
      <c r="D186" s="2"/>
      <c r="E186" s="2"/>
      <c r="F186" s="2"/>
      <c r="G186" s="2"/>
      <c r="H186" s="2"/>
      <c r="I186" s="2"/>
      <c r="J186" s="2"/>
      <c r="K186" s="2"/>
      <c r="L186" s="2"/>
      <c r="M186" s="2"/>
      <c r="N186" s="2"/>
      <c r="O186" s="2"/>
      <c r="P186" s="2"/>
      <c r="Q186" s="2"/>
      <c r="R186" s="3"/>
    </row>
    <row r="187" spans="2:18" ht="14.1" customHeight="1">
      <c r="B187" s="2"/>
      <c r="C187" s="2"/>
      <c r="D187" s="2"/>
      <c r="E187" s="2"/>
      <c r="F187" s="2"/>
      <c r="G187" s="2"/>
      <c r="H187" s="2"/>
      <c r="I187" s="2"/>
      <c r="J187" s="2"/>
      <c r="K187" s="2"/>
      <c r="L187" s="2"/>
      <c r="M187" s="2"/>
      <c r="N187" s="2"/>
      <c r="O187" s="2"/>
      <c r="P187" s="2"/>
      <c r="Q187" s="2"/>
      <c r="R187" s="3"/>
    </row>
    <row r="188" spans="2:18" ht="14.1" customHeight="1">
      <c r="B188" s="2"/>
      <c r="C188" s="2"/>
      <c r="D188" s="2"/>
      <c r="E188" s="2"/>
      <c r="F188" s="2"/>
      <c r="G188" s="2"/>
      <c r="H188" s="2"/>
      <c r="I188" s="2"/>
      <c r="J188" s="2"/>
      <c r="K188" s="2"/>
      <c r="L188" s="2"/>
      <c r="M188" s="2"/>
      <c r="N188" s="2"/>
      <c r="O188" s="2"/>
      <c r="P188" s="2"/>
      <c r="Q188" s="2"/>
      <c r="R188" s="3"/>
    </row>
    <row r="189" spans="2:18" ht="14.1" customHeight="1">
      <c r="B189" s="2"/>
      <c r="C189" s="2"/>
      <c r="D189" s="2"/>
      <c r="E189" s="2"/>
      <c r="F189" s="2"/>
      <c r="G189" s="2"/>
      <c r="H189" s="2"/>
      <c r="I189" s="2"/>
      <c r="J189" s="2"/>
      <c r="K189" s="2"/>
      <c r="L189" s="2"/>
      <c r="M189" s="2"/>
      <c r="N189" s="2"/>
      <c r="O189" s="2"/>
      <c r="P189" s="2"/>
      <c r="Q189" s="2"/>
      <c r="R189" s="3"/>
    </row>
    <row r="190" spans="2:18" ht="14.1" customHeight="1">
      <c r="B190" s="2"/>
      <c r="C190" s="2"/>
      <c r="D190" s="2"/>
      <c r="E190" s="2"/>
      <c r="F190" s="2"/>
      <c r="G190" s="2"/>
      <c r="H190" s="2"/>
      <c r="I190" s="2"/>
      <c r="J190" s="2"/>
      <c r="K190" s="2"/>
      <c r="L190" s="2"/>
      <c r="M190" s="2"/>
      <c r="N190" s="2"/>
      <c r="O190" s="2"/>
      <c r="P190" s="2"/>
      <c r="Q190" s="2"/>
      <c r="R190" s="3"/>
    </row>
    <row r="191" spans="2:18" ht="14.1" customHeight="1">
      <c r="B191" s="3"/>
      <c r="C191" s="3"/>
      <c r="D191" s="3"/>
      <c r="E191" s="3"/>
      <c r="F191" s="3"/>
      <c r="G191" s="3"/>
      <c r="H191" s="3"/>
      <c r="I191" s="3"/>
      <c r="J191" s="3"/>
      <c r="K191" s="3"/>
      <c r="L191" s="3"/>
      <c r="M191" s="3"/>
      <c r="N191" s="3"/>
      <c r="O191" s="3"/>
      <c r="P191" s="3"/>
      <c r="Q191" s="3"/>
      <c r="R191" s="21"/>
    </row>
  </sheetData>
  <sheetProtection sheet="1" objects="1" scenarios="1" selectLockedCells="1"/>
  <mergeCells count="15">
    <mergeCell ref="Q29:V29"/>
    <mergeCell ref="C27:H27"/>
    <mergeCell ref="O28:O31"/>
    <mergeCell ref="C70:O70"/>
    <mergeCell ref="D3:F3"/>
    <mergeCell ref="K3:L3"/>
    <mergeCell ref="C29:H29"/>
    <mergeCell ref="C66:M67"/>
    <mergeCell ref="C28:H28"/>
    <mergeCell ref="C22:H23"/>
    <mergeCell ref="B5:L5"/>
    <mergeCell ref="C26:H26"/>
    <mergeCell ref="C31:H33"/>
    <mergeCell ref="C25:H25"/>
    <mergeCell ref="C61:I61"/>
  </mergeCells>
  <phoneticPr fontId="23" type="noConversion"/>
  <pageMargins left="0.78740157480314965" right="0.78740157480314965" top="0.59055118110236227" bottom="0.59055118110236227" header="0.51181102362204722" footer="0.31496062992125984"/>
  <pageSetup paperSize="9" scale="62" orientation="portrait" r:id="rId1"/>
  <headerFooter alignWithMargins="0">
    <oddFooter>&amp;L©AGRIDEA&amp;R04.2022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boSprache">
              <controlPr defaultSize="0" print="0" autoFill="0" autoLine="0" autoPict="0">
                <anchor moveWithCells="1">
                  <from>
                    <xdr:col>13</xdr:col>
                    <xdr:colOff>28575</xdr:colOff>
                    <xdr:row>4</xdr:row>
                    <xdr:rowOff>114300</xdr:rowOff>
                  </from>
                  <to>
                    <xdr:col>14</xdr:col>
                    <xdr:colOff>695325</xdr:colOff>
                    <xdr:row>4</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A222"/>
  <sheetViews>
    <sheetView showGridLines="0" showRowColHeaders="0" showZeros="0" zoomScaleNormal="100" workbookViewId="0">
      <selection activeCell="E11" sqref="E11"/>
    </sheetView>
  </sheetViews>
  <sheetFormatPr baseColWidth="10" defaultColWidth="11.42578125" defaultRowHeight="14.1" customHeight="1"/>
  <cols>
    <col min="1" max="1" width="0.85546875" style="184" customWidth="1"/>
    <col min="2" max="2" width="1.5703125" style="184" customWidth="1"/>
    <col min="3" max="3" width="12" style="184" customWidth="1"/>
    <col min="4" max="4" width="7.85546875" style="184" customWidth="1"/>
    <col min="5" max="5" width="9.5703125" style="184" customWidth="1"/>
    <col min="6" max="6" width="10" style="184" customWidth="1"/>
    <col min="7" max="17" width="9.5703125" style="184" customWidth="1"/>
    <col min="18" max="18" width="4" style="417" customWidth="1"/>
    <col min="19" max="20" width="11.42578125" style="417"/>
    <col min="21" max="25" width="11.42578125" style="380"/>
    <col min="26" max="16384" width="11.42578125" style="184"/>
  </cols>
  <sheetData>
    <row r="1" spans="2:27" ht="42" customHeight="1">
      <c r="B1" s="63"/>
      <c r="C1" s="182"/>
      <c r="D1" s="182"/>
      <c r="E1" s="182"/>
      <c r="G1" s="183" t="str">
        <f>Texte!A73</f>
        <v>Calcul des paiements directs à partir de 2023</v>
      </c>
      <c r="H1" s="182"/>
      <c r="I1" s="182"/>
      <c r="K1" s="182"/>
      <c r="L1" s="182"/>
      <c r="M1" s="182"/>
      <c r="N1" s="182"/>
      <c r="O1" s="182"/>
      <c r="P1" s="182"/>
      <c r="Q1" s="1" t="str">
        <f>Texte!A208</f>
        <v>Paiements directs 2</v>
      </c>
      <c r="R1" s="404"/>
    </row>
    <row r="2" spans="2:27" s="21" customFormat="1" ht="11.1" customHeight="1" thickBot="1">
      <c r="B2" s="185"/>
      <c r="C2" s="185"/>
      <c r="D2" s="185"/>
      <c r="E2" s="185"/>
      <c r="F2" s="185"/>
      <c r="G2" s="185"/>
      <c r="H2" s="185"/>
      <c r="I2" s="185"/>
      <c r="J2" s="185"/>
      <c r="K2" s="185"/>
      <c r="L2" s="185"/>
      <c r="M2" s="185"/>
      <c r="N2" s="185"/>
      <c r="O2" s="185"/>
      <c r="P2" s="185"/>
      <c r="Q2" s="4"/>
      <c r="R2" s="405"/>
      <c r="S2" s="205"/>
      <c r="T2" s="205"/>
      <c r="U2" s="381"/>
      <c r="V2" s="381"/>
      <c r="W2" s="381"/>
      <c r="X2" s="381"/>
      <c r="Y2" s="381"/>
    </row>
    <row r="3" spans="2:27" s="181" customFormat="1" ht="21.95" customHeight="1">
      <c r="B3" s="176" t="str">
        <f>Texte!A178</f>
        <v>Exploitation:</v>
      </c>
      <c r="C3" s="177"/>
      <c r="D3" s="170">
        <f>'Paysage cultivé'!D3</f>
        <v>0</v>
      </c>
      <c r="E3" s="170"/>
      <c r="F3" s="170"/>
      <c r="G3" s="179"/>
      <c r="H3" s="179"/>
      <c r="I3" s="179"/>
      <c r="J3" s="173" t="str">
        <f>Texte!A294</f>
        <v>Variante:</v>
      </c>
      <c r="K3" s="171">
        <f>'Paysage cultivé'!K3</f>
        <v>0</v>
      </c>
      <c r="L3" s="172"/>
      <c r="M3" s="180"/>
      <c r="N3" s="173"/>
      <c r="O3" s="252"/>
      <c r="P3" s="173" t="str">
        <f>Texte!A53</f>
        <v>Année:</v>
      </c>
      <c r="Q3" s="174">
        <f>'Paysage cultivé'!O3</f>
        <v>0</v>
      </c>
      <c r="R3" s="406"/>
      <c r="S3" s="427"/>
      <c r="T3" s="427"/>
      <c r="U3" s="407"/>
      <c r="V3" s="407"/>
      <c r="W3" s="407"/>
      <c r="X3" s="407"/>
      <c r="Y3" s="407"/>
    </row>
    <row r="4" spans="2:27" ht="12.75" customHeight="1">
      <c r="B4" s="6"/>
      <c r="C4" s="2"/>
      <c r="D4" s="2"/>
      <c r="E4" s="2"/>
      <c r="F4" s="2"/>
      <c r="G4" s="2"/>
      <c r="H4" s="2"/>
      <c r="I4" s="2"/>
      <c r="J4" s="2"/>
      <c r="K4" s="2"/>
      <c r="L4" s="2"/>
      <c r="M4" s="2"/>
      <c r="N4" s="2"/>
      <c r="O4" s="2"/>
      <c r="P4" s="2"/>
      <c r="Q4" s="2"/>
      <c r="R4" s="382"/>
    </row>
    <row r="5" spans="2:27" ht="21.75" customHeight="1">
      <c r="B5" s="340" t="str">
        <f>Texte!A92</f>
        <v>Contributions à la sécurité de l'approvisionnement (CSA, Art. 50 à 54 et Annexe 7 OPD)</v>
      </c>
      <c r="C5" s="17"/>
      <c r="D5" s="17"/>
      <c r="E5" s="17"/>
      <c r="F5" s="17"/>
      <c r="G5" s="17"/>
      <c r="H5" s="17"/>
      <c r="I5" s="17"/>
      <c r="J5" s="17"/>
      <c r="K5" s="17"/>
      <c r="L5" s="17"/>
      <c r="M5" s="17"/>
      <c r="N5" s="17"/>
      <c r="O5" s="17"/>
      <c r="P5" s="17"/>
      <c r="Q5" s="17"/>
      <c r="R5" s="382"/>
    </row>
    <row r="6" spans="2:27" ht="3" customHeight="1">
      <c r="B6" s="8"/>
      <c r="C6" s="65"/>
      <c r="D6" s="65"/>
      <c r="E6" s="65"/>
      <c r="F6" s="65"/>
      <c r="G6" s="65"/>
      <c r="H6" s="65"/>
      <c r="I6" s="65"/>
      <c r="J6" s="65"/>
      <c r="K6" s="65"/>
      <c r="L6" s="61"/>
      <c r="M6" s="110"/>
      <c r="N6" s="146"/>
      <c r="O6" s="110"/>
      <c r="P6" s="146"/>
      <c r="Q6" s="147"/>
      <c r="R6" s="408"/>
    </row>
    <row r="7" spans="2:27" ht="42" customHeight="1">
      <c r="B7" s="523" t="s">
        <v>1223</v>
      </c>
      <c r="C7" s="646" t="str">
        <f>Texte!A259</f>
        <v>Surface donnant droit aux contributions: SAU donnant droit aux contributions (+ surfaces situées en zone limitrophe étrangère et exploitées par tradition), sauf matières premières renouvelables (kenaf, roseau de Chine), jachères, ourlets sur terres assolées, mûriers, surfaces à litière, haies, bosquets et berges boisées, bandes fleuries pour les pollinisateurs, chanvre pour l’utilisation des fibres.</v>
      </c>
      <c r="D7" s="647"/>
      <c r="E7" s="647"/>
      <c r="F7" s="647"/>
      <c r="G7" s="647"/>
      <c r="H7" s="647"/>
      <c r="I7" s="647"/>
      <c r="J7" s="647"/>
      <c r="K7" s="647"/>
      <c r="L7" s="647"/>
      <c r="M7" s="647"/>
      <c r="N7" s="647"/>
      <c r="O7" s="647"/>
      <c r="P7" s="647"/>
      <c r="Q7" s="648"/>
      <c r="R7" s="409"/>
    </row>
    <row r="8" spans="2:27" ht="9" customHeight="1">
      <c r="B8" s="119"/>
      <c r="C8" s="54"/>
      <c r="D8" s="54"/>
      <c r="E8" s="54"/>
      <c r="F8" s="54"/>
      <c r="G8" s="54"/>
      <c r="H8" s="54"/>
      <c r="I8" s="54"/>
      <c r="J8" s="54"/>
      <c r="K8" s="54"/>
      <c r="L8" s="17"/>
      <c r="M8" s="23"/>
      <c r="N8" s="38"/>
      <c r="O8" s="23"/>
      <c r="P8" s="38"/>
      <c r="Q8" s="24"/>
      <c r="R8" s="408"/>
    </row>
    <row r="9" spans="2:27" ht="17.100000000000001" customHeight="1" thickBot="1">
      <c r="B9" s="119"/>
      <c r="D9" s="359" t="str">
        <f>Texte!A363</f>
        <v>Surfaces sans charge minimale en bétail</v>
      </c>
      <c r="E9" s="360"/>
      <c r="F9" s="357"/>
      <c r="G9" s="357"/>
      <c r="H9" s="312"/>
      <c r="I9" s="358"/>
      <c r="J9" s="359" t="str">
        <f>Texte!A364</f>
        <v>Surfaces avec charge minimale en bétail</v>
      </c>
      <c r="K9" s="360"/>
      <c r="L9" s="359"/>
      <c r="M9" s="359"/>
      <c r="N9" s="359"/>
      <c r="O9" s="356"/>
      <c r="P9" s="38"/>
      <c r="Q9" s="24"/>
      <c r="R9" s="408"/>
      <c r="U9" s="382"/>
      <c r="V9" s="419"/>
      <c r="W9" s="205"/>
      <c r="X9" s="205"/>
      <c r="Y9" s="205"/>
      <c r="Z9" s="205"/>
      <c r="AA9" s="205"/>
    </row>
    <row r="10" spans="2:27" ht="50.1" customHeight="1">
      <c r="B10" s="119"/>
      <c r="C10" s="233" t="s">
        <v>1223</v>
      </c>
      <c r="D10" s="649" t="str">
        <f>Texte!A270</f>
        <v>Terres ouvertes et cultures pérennes</v>
      </c>
      <c r="E10" s="649"/>
      <c r="F10" s="649"/>
      <c r="G10" s="645" t="str">
        <f>Texte!A347</f>
        <v>Prairies temporaires</v>
      </c>
      <c r="H10" s="645"/>
      <c r="I10" s="645" t="str">
        <f>Texte!A332</f>
        <v>SPB herbagères (1)</v>
      </c>
      <c r="J10" s="645"/>
      <c r="K10" s="645" t="str">
        <f>Texte!A398</f>
        <v>Charge min /ha SPB herbagères</v>
      </c>
      <c r="L10" s="645"/>
      <c r="M10" s="645" t="str">
        <f>Texte!A331</f>
        <v>Surfaces herbagères permanentes hors SPB</v>
      </c>
      <c r="N10" s="645"/>
      <c r="O10" s="645" t="str">
        <f>Texte!A79</f>
        <v>Charge min /ha surf herb permanentes hors SPB</v>
      </c>
      <c r="P10" s="645"/>
      <c r="Q10" s="278" t="str">
        <f>Texte!A287</f>
        <v>UGBFG min.</v>
      </c>
      <c r="R10" s="410"/>
      <c r="U10" s="411" t="str">
        <f>Texte!A433</f>
        <v>Echelonnement selon le nombre d'exploitations</v>
      </c>
      <c r="V10" s="205"/>
      <c r="W10" s="205"/>
      <c r="X10" s="205"/>
      <c r="Y10" s="205"/>
      <c r="Z10" s="205"/>
      <c r="AA10" s="417"/>
    </row>
    <row r="11" spans="2:27" ht="17.100000000000001" customHeight="1">
      <c r="B11" s="119"/>
      <c r="C11" s="17" t="str">
        <f>Texte!A315</f>
        <v>Zone de plaine</v>
      </c>
      <c r="D11" s="17"/>
      <c r="E11" s="139"/>
      <c r="F11" s="11"/>
      <c r="G11" s="139"/>
      <c r="H11" s="19" t="s">
        <v>51</v>
      </c>
      <c r="I11" s="139"/>
      <c r="J11" s="23" t="s">
        <v>140</v>
      </c>
      <c r="K11" s="120">
        <f t="shared" ref="K11:K16" si="0">O11*0.3</f>
        <v>0.3</v>
      </c>
      <c r="L11" s="281" t="s">
        <v>57</v>
      </c>
      <c r="M11" s="139"/>
      <c r="N11" s="23" t="s">
        <v>140</v>
      </c>
      <c r="O11" s="120">
        <v>1</v>
      </c>
      <c r="P11" s="71" t="s">
        <v>748</v>
      </c>
      <c r="Q11" s="279">
        <f t="shared" ref="Q11:Q16" si="1">I11*K11+M11*O11</f>
        <v>0</v>
      </c>
      <c r="R11" s="412"/>
      <c r="U11" s="205"/>
      <c r="V11" s="419" t="str">
        <f>Texte!A412</f>
        <v>nombre d'exploitations</v>
      </c>
      <c r="W11" s="428">
        <v>1</v>
      </c>
      <c r="X11" s="428">
        <v>2</v>
      </c>
      <c r="Y11" s="428">
        <v>3</v>
      </c>
      <c r="Z11" s="428">
        <v>4</v>
      </c>
      <c r="AA11" s="428">
        <v>5</v>
      </c>
    </row>
    <row r="12" spans="2:27" ht="17.100000000000001" customHeight="1">
      <c r="B12" s="119"/>
      <c r="C12" s="17" t="str">
        <f>Texte!A316</f>
        <v>Zone des collines</v>
      </c>
      <c r="D12" s="54"/>
      <c r="E12" s="139"/>
      <c r="F12" s="23"/>
      <c r="G12" s="139"/>
      <c r="H12" s="19" t="s">
        <v>51</v>
      </c>
      <c r="I12" s="139"/>
      <c r="J12" s="23" t="s">
        <v>140</v>
      </c>
      <c r="K12" s="120">
        <f t="shared" si="0"/>
        <v>0.24</v>
      </c>
      <c r="L12" s="281" t="s">
        <v>57</v>
      </c>
      <c r="M12" s="139"/>
      <c r="N12" s="23" t="s">
        <v>140</v>
      </c>
      <c r="O12" s="120">
        <v>0.8</v>
      </c>
      <c r="P12" s="71" t="s">
        <v>748</v>
      </c>
      <c r="Q12" s="279">
        <f t="shared" si="1"/>
        <v>0</v>
      </c>
      <c r="R12" s="412"/>
      <c r="U12" s="382"/>
      <c r="V12" s="655" t="str">
        <f>Texte!A432</f>
        <v>Classes de surface</v>
      </c>
      <c r="W12" s="205" t="s">
        <v>388</v>
      </c>
      <c r="X12" s="205" t="s">
        <v>420</v>
      </c>
      <c r="Y12" s="205" t="s">
        <v>421</v>
      </c>
      <c r="Z12" s="205" t="s">
        <v>422</v>
      </c>
      <c r="AA12" s="205" t="s">
        <v>572</v>
      </c>
    </row>
    <row r="13" spans="2:27" ht="17.100000000000001" customHeight="1">
      <c r="B13" s="119"/>
      <c r="C13" s="17" t="str">
        <f>Texte!A317</f>
        <v>Zone montagne 1</v>
      </c>
      <c r="D13" s="54"/>
      <c r="E13" s="139"/>
      <c r="F13" s="23"/>
      <c r="G13" s="139"/>
      <c r="H13" s="19" t="s">
        <v>51</v>
      </c>
      <c r="I13" s="139"/>
      <c r="J13" s="23" t="s">
        <v>140</v>
      </c>
      <c r="K13" s="120">
        <f t="shared" si="0"/>
        <v>0.21</v>
      </c>
      <c r="L13" s="281" t="s">
        <v>57</v>
      </c>
      <c r="M13" s="139"/>
      <c r="N13" s="23" t="s">
        <v>140</v>
      </c>
      <c r="O13" s="120">
        <v>0.7</v>
      </c>
      <c r="P13" s="71" t="s">
        <v>748</v>
      </c>
      <c r="Q13" s="279">
        <f t="shared" si="1"/>
        <v>0</v>
      </c>
      <c r="R13" s="412"/>
      <c r="U13" s="382"/>
      <c r="V13" s="655"/>
      <c r="W13" s="205" t="s">
        <v>387</v>
      </c>
      <c r="X13" s="205" t="s">
        <v>423</v>
      </c>
      <c r="Y13" s="205" t="s">
        <v>424</v>
      </c>
      <c r="Z13" s="205" t="s">
        <v>425</v>
      </c>
      <c r="AA13" s="205" t="s">
        <v>573</v>
      </c>
    </row>
    <row r="14" spans="2:27" ht="17.100000000000001" customHeight="1">
      <c r="B14" s="119"/>
      <c r="C14" s="17" t="str">
        <f>Texte!A318</f>
        <v>Zone montagne 2</v>
      </c>
      <c r="D14" s="54"/>
      <c r="E14" s="139"/>
      <c r="F14" s="23"/>
      <c r="G14" s="139"/>
      <c r="H14" s="19" t="s">
        <v>51</v>
      </c>
      <c r="I14" s="139"/>
      <c r="J14" s="23" t="s">
        <v>140</v>
      </c>
      <c r="K14" s="120">
        <f t="shared" si="0"/>
        <v>0.18</v>
      </c>
      <c r="L14" s="281" t="s">
        <v>57</v>
      </c>
      <c r="M14" s="139"/>
      <c r="N14" s="23" t="s">
        <v>140</v>
      </c>
      <c r="O14" s="120">
        <v>0.6</v>
      </c>
      <c r="P14" s="71" t="s">
        <v>748</v>
      </c>
      <c r="Q14" s="279">
        <f t="shared" si="1"/>
        <v>0</v>
      </c>
      <c r="R14" s="412"/>
      <c r="U14" s="382"/>
      <c r="V14" s="655"/>
      <c r="W14" s="205" t="s">
        <v>389</v>
      </c>
      <c r="X14" s="205" t="s">
        <v>426</v>
      </c>
      <c r="Y14" s="205" t="s">
        <v>427</v>
      </c>
      <c r="Z14" s="205" t="s">
        <v>428</v>
      </c>
      <c r="AA14" s="205" t="s">
        <v>574</v>
      </c>
    </row>
    <row r="15" spans="2:27" ht="17.100000000000001" customHeight="1">
      <c r="B15" s="119"/>
      <c r="C15" s="17" t="str">
        <f>Texte!A319</f>
        <v>Zone montagne 3</v>
      </c>
      <c r="D15" s="54"/>
      <c r="E15" s="139"/>
      <c r="F15" s="23"/>
      <c r="G15" s="139"/>
      <c r="H15" s="19" t="s">
        <v>51</v>
      </c>
      <c r="I15" s="139"/>
      <c r="J15" s="23" t="s">
        <v>140</v>
      </c>
      <c r="K15" s="120">
        <f t="shared" si="0"/>
        <v>0.15</v>
      </c>
      <c r="L15" s="281" t="s">
        <v>57</v>
      </c>
      <c r="M15" s="139"/>
      <c r="N15" s="23" t="s">
        <v>140</v>
      </c>
      <c r="O15" s="120">
        <v>0.5</v>
      </c>
      <c r="P15" s="71" t="s">
        <v>748</v>
      </c>
      <c r="Q15" s="279">
        <f t="shared" si="1"/>
        <v>0</v>
      </c>
      <c r="R15" s="412"/>
      <c r="U15" s="382"/>
      <c r="V15" s="655"/>
      <c r="W15" s="205" t="s">
        <v>390</v>
      </c>
      <c r="X15" s="205" t="s">
        <v>429</v>
      </c>
      <c r="Y15" s="205" t="s">
        <v>430</v>
      </c>
      <c r="Z15" s="205" t="s">
        <v>431</v>
      </c>
      <c r="AA15" s="205" t="s">
        <v>575</v>
      </c>
    </row>
    <row r="16" spans="2:27" ht="17.100000000000001" customHeight="1">
      <c r="B16" s="119"/>
      <c r="C16" s="17" t="str">
        <f>Texte!A320</f>
        <v>Zone montagne 4</v>
      </c>
      <c r="D16" s="54"/>
      <c r="E16" s="139"/>
      <c r="F16" s="23"/>
      <c r="G16" s="139"/>
      <c r="H16" s="19" t="s">
        <v>51</v>
      </c>
      <c r="I16" s="139"/>
      <c r="J16" s="23" t="s">
        <v>140</v>
      </c>
      <c r="K16" s="120">
        <f t="shared" si="0"/>
        <v>0.12</v>
      </c>
      <c r="L16" s="281" t="s">
        <v>57</v>
      </c>
      <c r="M16" s="139"/>
      <c r="N16" s="23" t="s">
        <v>140</v>
      </c>
      <c r="O16" s="120">
        <v>0.4</v>
      </c>
      <c r="P16" s="71" t="s">
        <v>748</v>
      </c>
      <c r="Q16" s="279">
        <f t="shared" si="1"/>
        <v>0</v>
      </c>
      <c r="R16" s="412"/>
      <c r="U16" s="382"/>
      <c r="V16" s="655"/>
      <c r="W16" s="205" t="s">
        <v>391</v>
      </c>
      <c r="X16" s="205" t="s">
        <v>432</v>
      </c>
      <c r="Y16" s="205" t="s">
        <v>433</v>
      </c>
      <c r="Z16" s="205" t="s">
        <v>434</v>
      </c>
      <c r="AA16" s="205" t="s">
        <v>576</v>
      </c>
    </row>
    <row r="17" spans="2:27" ht="17.100000000000001" customHeight="1">
      <c r="B17" s="9"/>
      <c r="C17" s="10" t="str">
        <f>Texte!A271</f>
        <v>Total</v>
      </c>
      <c r="D17" s="23" t="str">
        <f>Texte!A368</f>
        <v>(ha)</v>
      </c>
      <c r="E17" s="242">
        <f>SUM(E11:E16)</f>
        <v>0</v>
      </c>
      <c r="F17" s="49"/>
      <c r="G17" s="242">
        <f>SUM(G11:G16)</f>
        <v>0</v>
      </c>
      <c r="H17" s="49"/>
      <c r="I17" s="242">
        <f>SUM(I11:I16)</f>
        <v>0</v>
      </c>
      <c r="J17" s="49"/>
      <c r="L17" s="142"/>
      <c r="M17" s="242">
        <f>SUM(M11:M16)</f>
        <v>0</v>
      </c>
      <c r="N17" s="255"/>
      <c r="O17" s="3"/>
      <c r="Q17" s="279">
        <f>SUM(Q11:Q16)</f>
        <v>0</v>
      </c>
      <c r="R17" s="412"/>
      <c r="U17" s="383"/>
      <c r="V17" s="655"/>
      <c r="W17" s="205" t="s">
        <v>392</v>
      </c>
      <c r="X17" s="205" t="s">
        <v>435</v>
      </c>
      <c r="Y17" s="205" t="s">
        <v>436</v>
      </c>
      <c r="Z17" s="205" t="s">
        <v>437</v>
      </c>
      <c r="AA17" s="205" t="s">
        <v>577</v>
      </c>
    </row>
    <row r="18" spans="2:27" ht="9" customHeight="1">
      <c r="B18" s="9"/>
      <c r="C18" s="10"/>
      <c r="D18" s="23"/>
      <c r="E18" s="49"/>
      <c r="F18" s="49"/>
      <c r="G18" s="49"/>
      <c r="H18" s="49"/>
      <c r="I18" s="49"/>
      <c r="J18" s="49"/>
      <c r="L18" s="142"/>
      <c r="M18" s="49"/>
      <c r="N18" s="255"/>
      <c r="O18" s="3"/>
      <c r="Q18" s="280"/>
      <c r="R18" s="412"/>
    </row>
    <row r="19" spans="2:27" ht="26.25" customHeight="1">
      <c r="B19" s="9"/>
      <c r="C19" s="10"/>
      <c r="D19" s="649" t="str">
        <f>Texte!A270</f>
        <v>Terres ouvertes et cultures pérennes</v>
      </c>
      <c r="E19" s="649"/>
      <c r="F19" s="649"/>
      <c r="G19" s="645" t="str">
        <f>Texte!A334</f>
        <v>Surfaces herbagères</v>
      </c>
      <c r="H19" s="645"/>
      <c r="I19" s="10"/>
      <c r="J19" s="10"/>
      <c r="K19" s="10"/>
      <c r="L19" s="11"/>
      <c r="M19" s="54"/>
      <c r="N19" s="71"/>
      <c r="O19" s="3"/>
      <c r="P19" s="455" t="s">
        <v>490</v>
      </c>
      <c r="Q19" s="454" t="str">
        <f>Texte!A288</f>
        <v>UGBFG réels</v>
      </c>
      <c r="R19" s="413"/>
    </row>
    <row r="20" spans="2:27" s="247" customFormat="1" ht="39.950000000000003" customHeight="1">
      <c r="B20" s="320"/>
      <c r="C20" s="650" t="str">
        <f>Texte!A335</f>
        <v>+ Surf expl par tradition zone limitrophe étrangère</v>
      </c>
      <c r="D20" s="650"/>
      <c r="E20" s="234"/>
      <c r="F20" s="15"/>
      <c r="G20" s="234"/>
      <c r="J20" s="345"/>
      <c r="K20" s="345"/>
      <c r="L20" s="652" t="str">
        <f>Texte!A69</f>
        <v>Bétail consommant des fourrages grossiers (effectifs totaux y compris animaux estivés)</v>
      </c>
      <c r="M20" s="652"/>
      <c r="N20" s="652"/>
      <c r="O20" s="652"/>
      <c r="P20" s="652"/>
      <c r="Q20" s="346"/>
      <c r="R20" s="414"/>
      <c r="S20" s="424"/>
      <c r="T20" s="424"/>
      <c r="U20" s="415"/>
      <c r="V20" s="415"/>
      <c r="W20" s="415"/>
      <c r="X20" s="415"/>
      <c r="Y20" s="415"/>
    </row>
    <row r="21" spans="2:27" ht="16.5" customHeight="1" thickBot="1">
      <c r="B21" s="9"/>
      <c r="C21" s="338"/>
      <c r="D21" s="338"/>
      <c r="E21" s="10"/>
      <c r="F21" s="10"/>
      <c r="G21" s="10"/>
      <c r="H21" s="10"/>
      <c r="I21" s="23" t="str">
        <f>Texte!A189</f>
        <v>Contribution totale (Fr.)</v>
      </c>
      <c r="J21" s="10"/>
      <c r="K21" s="10"/>
      <c r="L21" s="11"/>
      <c r="M21" s="54"/>
      <c r="N21" s="54"/>
      <c r="O21" s="54"/>
      <c r="P21" s="439" t="str">
        <f>Texte!A81</f>
        <v>Charge minimale en bétail atteinte:</v>
      </c>
      <c r="Q21" s="446">
        <f>IF(Q17=0,0,IF(Q20&gt;=Q17,Texte!A205,Texte!A204))</f>
        <v>0</v>
      </c>
      <c r="R21" s="205"/>
    </row>
    <row r="22" spans="2:27" s="247" customFormat="1" ht="30" customHeight="1" thickBot="1">
      <c r="B22" s="320"/>
      <c r="C22" s="645" t="str">
        <f>Texte!A336</f>
        <v>Paiements directs de l’UE pour les surfaces à l'étranger (année précédente)</v>
      </c>
      <c r="D22" s="645"/>
      <c r="E22" s="645"/>
      <c r="F22" s="645"/>
      <c r="G22" s="645"/>
      <c r="H22" s="345"/>
      <c r="I22" s="347"/>
      <c r="J22" s="345"/>
      <c r="K22" s="657" t="str">
        <f>Texte!A339</f>
        <v>% de la ch. en bétail réalisé (= UGB eff./ UGB min.)
(si la charge minimale en bétail est atteinte = 100%)</v>
      </c>
      <c r="L22" s="658"/>
      <c r="M22" s="658"/>
      <c r="N22" s="658"/>
      <c r="O22" s="658"/>
      <c r="P22" s="659"/>
      <c r="Q22" s="616">
        <f>IF(Q17=0,0,(IF(Q20/Q17&gt;1,1,Q20/Q17)))</f>
        <v>0</v>
      </c>
      <c r="R22" s="416"/>
      <c r="S22" s="424"/>
      <c r="T22" s="424"/>
      <c r="U22" s="415"/>
      <c r="V22" s="415"/>
      <c r="W22" s="415"/>
      <c r="X22" s="415"/>
      <c r="Y22" s="415"/>
    </row>
    <row r="23" spans="2:27" ht="16.5" customHeight="1">
      <c r="B23" s="9"/>
      <c r="D23" s="17" t="str">
        <f>Texte!A289</f>
        <v>* Nouveau facteur UGB pour "autres vaches": 1.0</v>
      </c>
      <c r="E23" s="10"/>
      <c r="F23" s="10"/>
      <c r="G23" s="10"/>
      <c r="H23" s="10"/>
      <c r="I23" s="10"/>
      <c r="J23" s="10"/>
      <c r="K23" s="17"/>
      <c r="M23" s="54"/>
      <c r="N23" s="54"/>
      <c r="O23" s="154"/>
      <c r="Q23" s="196"/>
      <c r="R23" s="205"/>
    </row>
    <row r="24" spans="2:27" ht="3" customHeight="1">
      <c r="B24" s="9"/>
      <c r="C24" s="10"/>
      <c r="D24" s="645">
        <f>Texte!A366</f>
        <v>0</v>
      </c>
      <c r="E24" s="645"/>
      <c r="F24" s="645"/>
      <c r="G24" s="645"/>
      <c r="H24" s="645"/>
      <c r="I24" s="645"/>
      <c r="J24" s="645"/>
      <c r="K24" s="645"/>
      <c r="L24" s="645"/>
      <c r="M24" s="645"/>
      <c r="N24" s="645"/>
      <c r="O24" s="645"/>
      <c r="P24" s="645"/>
      <c r="Q24" s="651"/>
      <c r="R24" s="410"/>
    </row>
    <row r="25" spans="2:27" ht="17.100000000000001" customHeight="1">
      <c r="B25" s="9"/>
      <c r="D25" s="17" t="str">
        <f>Texte!A333</f>
        <v>SPB = Surfaces de promotion de la biodiversité</v>
      </c>
      <c r="E25" s="10"/>
      <c r="F25" s="10"/>
      <c r="G25" s="10"/>
      <c r="H25" s="10"/>
      <c r="I25" s="10"/>
      <c r="J25" s="10"/>
      <c r="K25" s="17"/>
      <c r="M25" s="54"/>
      <c r="N25" s="54"/>
      <c r="O25" s="54"/>
      <c r="P25" s="154"/>
      <c r="Q25" s="196"/>
      <c r="R25" s="205"/>
    </row>
    <row r="26" spans="2:27" ht="29.25" customHeight="1">
      <c r="B26" s="9"/>
      <c r="C26" s="10"/>
      <c r="D26" s="645" t="str">
        <f>Texte!A367</f>
        <v>(1) SPB herbagères = prairies extensives et peu intensives, pâturages extensifs et pâturages boisés, prairies riveraines d’un cours d’eau</v>
      </c>
      <c r="E26" s="645"/>
      <c r="F26" s="645"/>
      <c r="G26" s="645"/>
      <c r="H26" s="645"/>
      <c r="I26" s="645"/>
      <c r="J26" s="645"/>
      <c r="K26" s="645"/>
      <c r="L26" s="645"/>
      <c r="M26" s="645"/>
      <c r="N26" s="645"/>
      <c r="O26" s="645"/>
      <c r="P26" s="645"/>
      <c r="Q26" s="651"/>
      <c r="R26" s="410"/>
    </row>
    <row r="27" spans="2:27" ht="16.5" customHeight="1">
      <c r="B27" s="9"/>
      <c r="C27" s="10"/>
      <c r="D27" s="239"/>
      <c r="E27" s="239"/>
      <c r="F27" s="239"/>
      <c r="G27" s="239"/>
      <c r="H27" s="239"/>
      <c r="I27" s="239"/>
      <c r="J27" s="239"/>
      <c r="K27" s="239"/>
      <c r="L27" s="239"/>
      <c r="M27" s="239"/>
      <c r="N27" s="239"/>
      <c r="O27" s="239"/>
      <c r="P27" s="239"/>
      <c r="Q27" s="278"/>
      <c r="R27" s="410"/>
    </row>
    <row r="28" spans="2:27" ht="17.100000000000001" customHeight="1">
      <c r="B28" s="9"/>
      <c r="C28" s="10"/>
      <c r="D28" s="10"/>
      <c r="E28" s="10"/>
      <c r="F28" s="10"/>
      <c r="G28" s="10"/>
      <c r="H28" s="10"/>
      <c r="J28" s="10"/>
      <c r="K28" s="17" t="str">
        <f>Texte!A343</f>
        <v>Surface (ha)</v>
      </c>
      <c r="L28" s="19"/>
      <c r="M28" s="54" t="str">
        <f>Texte!A345</f>
        <v>Montant (Fr./ha)</v>
      </c>
      <c r="O28" s="54" t="str">
        <f>Texte!A346</f>
        <v>Sous-total (Fr.)</v>
      </c>
      <c r="P28" s="54"/>
      <c r="Q28" s="196"/>
      <c r="R28" s="205"/>
    </row>
    <row r="29" spans="2:27" ht="17.100000000000001" customHeight="1">
      <c r="B29" s="9"/>
      <c r="C29" s="128" t="str">
        <f>Texte!A94</f>
        <v>Contribution de base</v>
      </c>
      <c r="D29" s="10"/>
      <c r="E29" s="10"/>
      <c r="F29" s="10"/>
      <c r="G29" s="10"/>
      <c r="H29" s="10"/>
      <c r="J29" s="10"/>
      <c r="K29" s="10"/>
      <c r="L29" s="11"/>
      <c r="M29" s="10"/>
      <c r="O29" s="54"/>
      <c r="P29" s="54"/>
      <c r="Q29" s="196"/>
      <c r="R29" s="205"/>
    </row>
    <row r="30" spans="2:27" ht="17.100000000000001" customHeight="1">
      <c r="B30" s="12"/>
      <c r="C30" s="17" t="str">
        <f>Texte!A270</f>
        <v>Terres ouvertes et cultures pérennes</v>
      </c>
      <c r="D30" s="17"/>
      <c r="E30" s="249"/>
      <c r="F30" s="249"/>
      <c r="G30" s="249"/>
      <c r="H30" s="249"/>
      <c r="K30" s="120">
        <f>E17</f>
        <v>0</v>
      </c>
      <c r="L30" s="23" t="s">
        <v>140</v>
      </c>
      <c r="M30" s="533">
        <v>600</v>
      </c>
      <c r="N30" s="23" t="s">
        <v>141</v>
      </c>
      <c r="O30" s="148">
        <f t="shared" ref="O30:O35" si="2">K30*M30</f>
        <v>0</v>
      </c>
      <c r="Q30" s="117"/>
      <c r="R30" s="418"/>
    </row>
    <row r="31" spans="2:27" ht="17.100000000000001" customHeight="1">
      <c r="B31" s="12"/>
      <c r="C31" s="17" t="str">
        <f>Texte!A347</f>
        <v>Prairies temporaires</v>
      </c>
      <c r="D31" s="17"/>
      <c r="E31" s="249"/>
      <c r="F31" s="249"/>
      <c r="G31" s="249"/>
      <c r="H31" s="249"/>
      <c r="K31" s="120">
        <f>G17</f>
        <v>0</v>
      </c>
      <c r="L31" s="23" t="s">
        <v>140</v>
      </c>
      <c r="M31" s="40">
        <v>600</v>
      </c>
      <c r="N31" s="58" t="s">
        <v>141</v>
      </c>
      <c r="O31" s="148">
        <f t="shared" si="2"/>
        <v>0</v>
      </c>
      <c r="Q31" s="117"/>
      <c r="R31" s="418"/>
    </row>
    <row r="32" spans="2:27" ht="17.100000000000001" customHeight="1">
      <c r="B32" s="12"/>
      <c r="C32" s="17" t="str">
        <f>Texte!A331</f>
        <v>Surfaces herbagères permanentes hors SPB</v>
      </c>
      <c r="D32" s="17"/>
      <c r="E32" s="249"/>
      <c r="F32" s="249"/>
      <c r="G32" s="249"/>
      <c r="H32" s="249"/>
      <c r="K32" s="120">
        <f>M17</f>
        <v>0</v>
      </c>
      <c r="L32" s="23" t="s">
        <v>140</v>
      </c>
      <c r="M32" s="437">
        <f>IF(Q22&gt;=1,M30,M30*Q22)</f>
        <v>0</v>
      </c>
      <c r="N32" s="23" t="s">
        <v>141</v>
      </c>
      <c r="O32" s="148">
        <f t="shared" si="2"/>
        <v>0</v>
      </c>
      <c r="P32" s="440" t="str">
        <f>Texte!A340</f>
        <v>Montant = 600 x % ch.</v>
      </c>
      <c r="Q32" s="131"/>
      <c r="R32" s="418"/>
    </row>
    <row r="33" spans="2:18" ht="17.100000000000001" customHeight="1">
      <c r="B33" s="12"/>
      <c r="C33" s="17" t="str">
        <f>Texte!A332</f>
        <v>SPB herbagères (1)</v>
      </c>
      <c r="D33" s="17"/>
      <c r="E33" s="249"/>
      <c r="F33" s="249"/>
      <c r="G33" s="249"/>
      <c r="H33" s="249"/>
      <c r="K33" s="120">
        <f>I17</f>
        <v>0</v>
      </c>
      <c r="L33" s="23" t="s">
        <v>140</v>
      </c>
      <c r="M33" s="438">
        <f>IF(Q22&gt;=1,M30/2,M30*Q22/2)</f>
        <v>0</v>
      </c>
      <c r="N33" s="23" t="s">
        <v>141</v>
      </c>
      <c r="O33" s="148">
        <f t="shared" si="2"/>
        <v>0</v>
      </c>
      <c r="P33" s="441" t="str">
        <f>Texte!A341</f>
        <v>Montant = 300 x % ch.</v>
      </c>
      <c r="Q33" s="52"/>
      <c r="R33" s="418"/>
    </row>
    <row r="34" spans="2:18" ht="17.100000000000001" customHeight="1">
      <c r="B34" s="12"/>
      <c r="C34" s="17" t="str">
        <f>Texte!A337</f>
        <v>Terres ouvertes et cultures pérennes exploitées par tradition à l'étranger</v>
      </c>
      <c r="D34" s="17"/>
      <c r="E34" s="249"/>
      <c r="F34" s="249"/>
      <c r="G34" s="249"/>
      <c r="H34" s="249"/>
      <c r="K34" s="120">
        <f>E20</f>
        <v>0</v>
      </c>
      <c r="L34" s="23" t="s">
        <v>140</v>
      </c>
      <c r="M34" s="39">
        <v>600</v>
      </c>
      <c r="N34" s="23" t="s">
        <v>141</v>
      </c>
      <c r="O34" s="148">
        <f t="shared" si="2"/>
        <v>0</v>
      </c>
      <c r="Q34" s="117"/>
      <c r="R34" s="418"/>
    </row>
    <row r="35" spans="2:18" ht="17.100000000000001" customHeight="1">
      <c r="B35" s="12"/>
      <c r="C35" s="17" t="str">
        <f>Texte!A338</f>
        <v>Surfaces herbagères exploitées par tradition à l'étranger</v>
      </c>
      <c r="D35" s="17"/>
      <c r="E35" s="249"/>
      <c r="F35" s="249"/>
      <c r="G35" s="249"/>
      <c r="H35" s="249"/>
      <c r="K35" s="120">
        <f>G20</f>
        <v>0</v>
      </c>
      <c r="L35" s="23" t="s">
        <v>140</v>
      </c>
      <c r="M35" s="39">
        <v>600</v>
      </c>
      <c r="N35" s="23" t="s">
        <v>141</v>
      </c>
      <c r="O35" s="148">
        <f t="shared" si="2"/>
        <v>0</v>
      </c>
      <c r="Q35" s="117"/>
      <c r="R35" s="418"/>
    </row>
    <row r="36" spans="2:18" ht="17.100000000000001" customHeight="1">
      <c r="B36" s="12"/>
      <c r="C36" s="17" t="str">
        <f>Texte!A336</f>
        <v>Paiements directs de l’UE pour les surfaces à l'étranger (année précédente)</v>
      </c>
      <c r="D36" s="17"/>
      <c r="E36" s="249"/>
      <c r="F36" s="249"/>
      <c r="G36" s="249"/>
      <c r="H36" s="249"/>
      <c r="K36" s="115" t="s">
        <v>446</v>
      </c>
      <c r="L36" s="23"/>
      <c r="M36" s="40"/>
      <c r="N36" s="339" t="s">
        <v>33</v>
      </c>
      <c r="O36" s="148">
        <f>I22</f>
        <v>0</v>
      </c>
      <c r="Q36" s="117"/>
      <c r="R36" s="418"/>
    </row>
    <row r="37" spans="2:18" ht="17.100000000000001" customHeight="1">
      <c r="B37" s="12"/>
      <c r="C37" s="33" t="str">
        <f>Texte!A410</f>
        <v>Echelonnement (réduction) de la contribution, si plus de 60 ha par exploitation:</v>
      </c>
      <c r="D37" s="33"/>
      <c r="E37" s="300"/>
      <c r="F37" s="300"/>
      <c r="G37" s="300"/>
      <c r="H37" s="11"/>
      <c r="I37" s="40"/>
      <c r="J37" s="17"/>
      <c r="K37" s="47" t="s">
        <v>446</v>
      </c>
      <c r="L37" s="23"/>
      <c r="M37" s="49"/>
      <c r="N37" s="23"/>
      <c r="O37" s="47" t="s">
        <v>446</v>
      </c>
      <c r="Q37" s="117"/>
      <c r="R37" s="418"/>
    </row>
    <row r="38" spans="2:18" ht="17.100000000000001" customHeight="1">
      <c r="B38" s="12"/>
      <c r="D38" s="23" t="str">
        <f>Texte!A411</f>
        <v>Part de surface entre</v>
      </c>
      <c r="F38" s="184" t="str">
        <f>Texte!A413</f>
        <v>Taux de réduction</v>
      </c>
      <c r="I38" s="47" t="str">
        <f>Texte!A414</f>
        <v>Surface pondérée</v>
      </c>
      <c r="J38" s="11"/>
      <c r="K38" s="47" t="str">
        <f>Texte!A415</f>
        <v>Total surface</v>
      </c>
      <c r="L38" s="17"/>
      <c r="O38" s="50" t="str">
        <f>Texte!A416</f>
        <v>Sous-total contribution de base</v>
      </c>
      <c r="P38" s="23"/>
      <c r="Q38" s="117"/>
      <c r="R38" s="418"/>
    </row>
    <row r="39" spans="2:18" ht="17.100000000000001" customHeight="1">
      <c r="B39" s="316"/>
      <c r="C39" s="305" t="str">
        <f>HLOOKUP(Texte!B2,$W$11:$AA$17,2)</f>
        <v>0 - 60 ha</v>
      </c>
      <c r="D39" s="120">
        <f>IF(K$39&lt;=$K$42*60,K$39,$K$42*60)</f>
        <v>0</v>
      </c>
      <c r="E39" s="301" t="s">
        <v>140</v>
      </c>
      <c r="F39" s="302">
        <v>1</v>
      </c>
      <c r="G39" s="361"/>
      <c r="H39" s="304" t="s">
        <v>447</v>
      </c>
      <c r="I39" s="120">
        <f>D39*F39+D40*F40+D41*F41+D42*F42+D43*F43+D44*F44</f>
        <v>0</v>
      </c>
      <c r="J39" s="303" t="s">
        <v>393</v>
      </c>
      <c r="K39" s="120">
        <f>SUM(K30:K35)</f>
        <v>0</v>
      </c>
      <c r="L39" s="23"/>
      <c r="N39" s="56" t="s">
        <v>140</v>
      </c>
      <c r="O39" s="148">
        <f>SUM(O30:O35)-O36</f>
        <v>0</v>
      </c>
      <c r="Q39" s="117"/>
      <c r="R39" s="418"/>
    </row>
    <row r="40" spans="2:18" ht="17.100000000000001" customHeight="1">
      <c r="B40" s="316" t="s">
        <v>57</v>
      </c>
      <c r="C40" s="305" t="str">
        <f>HLOOKUP(Texte!B2,$W$11:$AA$17,3)</f>
        <v>60 - 80 ha</v>
      </c>
      <c r="D40" s="120">
        <f>IF((K$39-D$39)&lt;=$K$42*20,K$39-D$39,$K$42*20)</f>
        <v>0</v>
      </c>
      <c r="E40" s="301" t="s">
        <v>140</v>
      </c>
      <c r="F40" s="302">
        <v>0.8</v>
      </c>
      <c r="G40" s="362"/>
      <c r="I40" s="17"/>
      <c r="J40" s="17"/>
      <c r="K40" s="17"/>
      <c r="L40" s="11"/>
      <c r="M40" s="40"/>
      <c r="N40" s="23" t="s">
        <v>141</v>
      </c>
      <c r="O40" s="161">
        <f>IF(K39=0,0,I39/K39*O39)</f>
        <v>0</v>
      </c>
      <c r="P40" s="23"/>
      <c r="Q40" s="117"/>
      <c r="R40" s="418"/>
    </row>
    <row r="41" spans="2:18" ht="17.100000000000001" customHeight="1">
      <c r="B41" s="316" t="s">
        <v>57</v>
      </c>
      <c r="C41" s="305" t="str">
        <f>HLOOKUP(Texte!B2,$W$11:$AA$17,4)</f>
        <v>80 -100 ha</v>
      </c>
      <c r="D41" s="120">
        <f>IF((K$39-D$39-D$40)&lt;=$K$42*20,K$39-D$39-D$40,$K$42*20)</f>
        <v>0</v>
      </c>
      <c r="E41" s="301" t="s">
        <v>140</v>
      </c>
      <c r="F41" s="302">
        <v>0.6</v>
      </c>
      <c r="G41" s="362"/>
      <c r="I41" s="17"/>
      <c r="J41" s="48" t="str">
        <f>Texte!A434</f>
        <v>Exploitation individuelle ou communauté</v>
      </c>
      <c r="K41" s="17"/>
      <c r="L41" s="11"/>
      <c r="M41" s="40"/>
      <c r="N41" s="23"/>
      <c r="O41" s="116"/>
      <c r="P41" s="23"/>
      <c r="Q41" s="117"/>
      <c r="R41" s="418"/>
    </row>
    <row r="42" spans="2:18" ht="17.100000000000001" customHeight="1">
      <c r="B42" s="316" t="s">
        <v>57</v>
      </c>
      <c r="C42" s="305" t="str">
        <f>HLOOKUP(Texte!B2,$W$11:$AA$17,5)</f>
        <v>100-120 ha</v>
      </c>
      <c r="D42" s="120">
        <f>IF((K$39-D$39-D$40-D$41)&lt;=$K$42*20,K$39-D$39-D$40-D$41,$K$42*20)</f>
        <v>0</v>
      </c>
      <c r="E42" s="301" t="s">
        <v>140</v>
      </c>
      <c r="F42" s="302">
        <v>0.4</v>
      </c>
      <c r="G42" s="362"/>
      <c r="I42" s="17"/>
      <c r="J42" s="48"/>
      <c r="K42" s="429">
        <f>Texte!B2</f>
        <v>1</v>
      </c>
      <c r="L42" s="11"/>
      <c r="M42" s="40"/>
      <c r="N42" s="23"/>
      <c r="O42" s="116"/>
      <c r="P42" s="23"/>
      <c r="Q42" s="117"/>
      <c r="R42" s="418"/>
    </row>
    <row r="43" spans="2:18" ht="17.100000000000001" customHeight="1">
      <c r="B43" s="316" t="s">
        <v>57</v>
      </c>
      <c r="C43" s="305" t="str">
        <f>HLOOKUP(Texte!B2,$W$11:$AA$17,6)</f>
        <v>120-140 ha</v>
      </c>
      <c r="D43" s="120">
        <f>IF((K$39-D$39-D$40-D$41-D$42)&lt;=$K$42*20,K$39-D$39-D$40-D$41-D$42,$K$42*20)</f>
        <v>0</v>
      </c>
      <c r="E43" s="301" t="s">
        <v>140</v>
      </c>
      <c r="F43" s="302">
        <v>0.2</v>
      </c>
      <c r="G43" s="362"/>
      <c r="I43" s="17"/>
      <c r="J43" s="17"/>
      <c r="K43" s="17"/>
      <c r="L43" s="11"/>
      <c r="M43" s="40"/>
      <c r="N43" s="23"/>
      <c r="O43" s="116"/>
      <c r="P43" s="23"/>
      <c r="Q43" s="117"/>
      <c r="R43" s="418"/>
    </row>
    <row r="44" spans="2:18" ht="17.100000000000001" customHeight="1">
      <c r="B44" s="316" t="s">
        <v>57</v>
      </c>
      <c r="C44" s="305" t="str">
        <f>HLOOKUP(Texte!B2,$W$11:$AA$17,7)</f>
        <v>&gt; 140 ha</v>
      </c>
      <c r="D44" s="120">
        <f>K$39-D$39-D$40-D$41-D$42-D$43</f>
        <v>0</v>
      </c>
      <c r="E44" s="301" t="s">
        <v>140</v>
      </c>
      <c r="F44" s="311" t="s">
        <v>851</v>
      </c>
      <c r="G44" s="363"/>
      <c r="H44" s="302"/>
      <c r="I44" s="653"/>
      <c r="J44" s="653"/>
      <c r="K44" s="653"/>
      <c r="L44" s="653"/>
      <c r="M44" s="653"/>
      <c r="N44" s="653"/>
      <c r="O44" s="653"/>
      <c r="P44" s="653"/>
      <c r="Q44" s="654"/>
      <c r="R44" s="418"/>
    </row>
    <row r="45" spans="2:18" ht="17.100000000000001" customHeight="1">
      <c r="B45" s="12"/>
      <c r="C45" s="17"/>
      <c r="D45" s="17"/>
      <c r="E45" s="17"/>
      <c r="F45" s="17"/>
      <c r="G45" s="363"/>
      <c r="H45" s="17"/>
      <c r="I45" s="653"/>
      <c r="J45" s="653"/>
      <c r="K45" s="653"/>
      <c r="L45" s="653"/>
      <c r="M45" s="653"/>
      <c r="N45" s="653"/>
      <c r="O45" s="653"/>
      <c r="P45" s="653"/>
      <c r="Q45" s="654"/>
      <c r="R45" s="418"/>
    </row>
    <row r="46" spans="2:18" ht="17.100000000000001" customHeight="1">
      <c r="B46" s="12"/>
      <c r="C46" s="17"/>
      <c r="D46" s="17"/>
      <c r="E46" s="17"/>
      <c r="F46" s="17"/>
      <c r="G46" s="363"/>
      <c r="H46" s="17"/>
      <c r="I46" s="653"/>
      <c r="J46" s="653"/>
      <c r="K46" s="653"/>
      <c r="L46" s="653"/>
      <c r="M46" s="653"/>
      <c r="N46" s="653"/>
      <c r="O46" s="653"/>
      <c r="P46" s="653"/>
      <c r="Q46" s="654"/>
      <c r="R46" s="418"/>
    </row>
    <row r="47" spans="2:18" ht="9" customHeight="1">
      <c r="B47" s="12"/>
      <c r="C47" s="17"/>
      <c r="D47" s="17"/>
      <c r="E47" s="17"/>
      <c r="F47" s="17"/>
      <c r="G47" s="17"/>
      <c r="H47" s="17"/>
      <c r="I47" s="284"/>
      <c r="J47" s="284"/>
      <c r="K47" s="284"/>
      <c r="L47" s="284"/>
      <c r="M47" s="284"/>
      <c r="N47" s="284"/>
      <c r="O47" s="284"/>
      <c r="P47" s="284"/>
      <c r="Q47" s="454"/>
      <c r="R47" s="418"/>
    </row>
    <row r="48" spans="2:18" ht="17.100000000000001" customHeight="1">
      <c r="B48" s="12"/>
      <c r="C48" s="128" t="str">
        <f>Texte!A97</f>
        <v>Contribution à la production dans des conditions difficiles</v>
      </c>
      <c r="D48" s="17"/>
      <c r="E48" s="17"/>
      <c r="F48" s="17"/>
      <c r="G48" s="17"/>
      <c r="H48" s="17"/>
      <c r="I48" s="17"/>
      <c r="J48" s="17"/>
      <c r="K48" s="17"/>
      <c r="L48" s="11"/>
      <c r="M48" s="40"/>
      <c r="N48" s="17"/>
      <c r="O48" s="40"/>
      <c r="P48" s="23"/>
      <c r="Q48" s="117"/>
      <c r="R48" s="418"/>
    </row>
    <row r="49" spans="2:25" ht="16.5" customHeight="1" thickBot="1">
      <c r="B49" s="12"/>
      <c r="C49" s="128"/>
      <c r="D49" s="17"/>
      <c r="E49" s="17"/>
      <c r="F49" s="17"/>
      <c r="G49" s="17"/>
      <c r="H49" s="17"/>
      <c r="I49" s="456" t="str">
        <f>Texte!A342</f>
        <v>La contribution est payée pour la surface herbagère permanente sur laquelle la charge minimale est atteinte (surface x % ch. en bétail réalisé)</v>
      </c>
      <c r="J49" s="360"/>
      <c r="K49" s="442"/>
      <c r="L49" s="443"/>
      <c r="M49" s="40"/>
      <c r="N49" s="17"/>
      <c r="O49" s="40"/>
      <c r="P49" s="23"/>
      <c r="Q49" s="117"/>
      <c r="R49" s="418"/>
    </row>
    <row r="50" spans="2:25" ht="39.950000000000003" customHeight="1">
      <c r="B50" s="12"/>
      <c r="C50" s="17"/>
      <c r="D50" s="17"/>
      <c r="E50" s="645" t="str">
        <f>Texte!A270</f>
        <v>Terres ouvertes et cultures pérennes</v>
      </c>
      <c r="F50" s="645"/>
      <c r="G50" s="645" t="str">
        <f>Texte!A347</f>
        <v>Prairies temporaires</v>
      </c>
      <c r="H50" s="645"/>
      <c r="I50" s="645" t="str">
        <f>Texte!A332</f>
        <v>SPB herbagères (1)</v>
      </c>
      <c r="J50" s="645"/>
      <c r="K50" s="645" t="str">
        <f>Texte!A331</f>
        <v>Surfaces herbagères permanentes hors SPB</v>
      </c>
      <c r="L50" s="645"/>
      <c r="M50" s="645" t="str">
        <f>Texte!A345</f>
        <v>Montant (Fr./ha)</v>
      </c>
      <c r="N50" s="645"/>
      <c r="O50" s="645" t="str">
        <f>Texte!A346</f>
        <v>Sous-total (Fr.)</v>
      </c>
      <c r="P50" s="645"/>
      <c r="Q50" s="299" t="str">
        <f>Texte!A282</f>
        <v>Total (Fr.)</v>
      </c>
      <c r="R50" s="418"/>
    </row>
    <row r="51" spans="2:25" ht="17.100000000000001" customHeight="1">
      <c r="B51" s="12"/>
      <c r="C51" s="17" t="str">
        <f>Texte!A316</f>
        <v>Zone des collines</v>
      </c>
      <c r="D51" s="251"/>
      <c r="E51" s="120">
        <f>E12</f>
        <v>0</v>
      </c>
      <c r="F51" s="115" t="s">
        <v>57</v>
      </c>
      <c r="G51" s="120">
        <f>G12</f>
        <v>0</v>
      </c>
      <c r="H51" s="115" t="s">
        <v>57</v>
      </c>
      <c r="I51" s="120">
        <f>I12*Q$22</f>
        <v>0</v>
      </c>
      <c r="J51" s="115" t="s">
        <v>57</v>
      </c>
      <c r="K51" s="120">
        <f>M12*Q$22</f>
        <v>0</v>
      </c>
      <c r="L51" s="23" t="s">
        <v>140</v>
      </c>
      <c r="M51" s="132">
        <v>390</v>
      </c>
      <c r="N51" s="208" t="s">
        <v>141</v>
      </c>
      <c r="O51" s="148">
        <f>(E51+G51+I51+K51)*M51</f>
        <v>0</v>
      </c>
      <c r="P51" s="23"/>
      <c r="Q51" s="117"/>
      <c r="R51" s="418"/>
    </row>
    <row r="52" spans="2:25" ht="17.100000000000001" customHeight="1">
      <c r="B52" s="12"/>
      <c r="C52" s="17" t="str">
        <f>Texte!A317</f>
        <v>Zone montagne 1</v>
      </c>
      <c r="D52" s="54"/>
      <c r="E52" s="120">
        <f>E13</f>
        <v>0</v>
      </c>
      <c r="F52" s="115" t="s">
        <v>57</v>
      </c>
      <c r="G52" s="120">
        <f>G13</f>
        <v>0</v>
      </c>
      <c r="H52" s="115" t="s">
        <v>57</v>
      </c>
      <c r="I52" s="120">
        <f>I13*Q$22</f>
        <v>0</v>
      </c>
      <c r="J52" s="115" t="s">
        <v>57</v>
      </c>
      <c r="K52" s="120">
        <f>M13*Q$22</f>
        <v>0</v>
      </c>
      <c r="L52" s="23" t="s">
        <v>140</v>
      </c>
      <c r="M52" s="132">
        <v>510</v>
      </c>
      <c r="N52" s="208" t="s">
        <v>141</v>
      </c>
      <c r="O52" s="148">
        <f>(E52+G52+I52+K52)*M52</f>
        <v>0</v>
      </c>
      <c r="P52" s="23"/>
      <c r="Q52" s="117"/>
      <c r="R52" s="418"/>
    </row>
    <row r="53" spans="2:25" ht="17.100000000000001" customHeight="1">
      <c r="B53" s="12"/>
      <c r="C53" s="17" t="str">
        <f>Texte!A318</f>
        <v>Zone montagne 2</v>
      </c>
      <c r="D53" s="54"/>
      <c r="E53" s="120">
        <f>E14</f>
        <v>0</v>
      </c>
      <c r="F53" s="115" t="s">
        <v>57</v>
      </c>
      <c r="G53" s="120">
        <f>G14</f>
        <v>0</v>
      </c>
      <c r="H53" s="115" t="s">
        <v>57</v>
      </c>
      <c r="I53" s="120">
        <f>I14*Q$22</f>
        <v>0</v>
      </c>
      <c r="J53" s="115" t="s">
        <v>57</v>
      </c>
      <c r="K53" s="120">
        <f>M14*Q$22</f>
        <v>0</v>
      </c>
      <c r="L53" s="23" t="s">
        <v>140</v>
      </c>
      <c r="M53" s="132">
        <v>550</v>
      </c>
      <c r="N53" s="208" t="s">
        <v>141</v>
      </c>
      <c r="O53" s="148">
        <f>(E53+G53+I53+K53)*M53</f>
        <v>0</v>
      </c>
      <c r="P53" s="23"/>
      <c r="Q53" s="117"/>
      <c r="R53" s="418"/>
    </row>
    <row r="54" spans="2:25" ht="17.100000000000001" customHeight="1">
      <c r="B54" s="12"/>
      <c r="C54" s="17" t="str">
        <f>Texte!A319</f>
        <v>Zone montagne 3</v>
      </c>
      <c r="D54" s="54"/>
      <c r="E54" s="120">
        <f>E15</f>
        <v>0</v>
      </c>
      <c r="F54" s="115" t="s">
        <v>57</v>
      </c>
      <c r="G54" s="120">
        <f>G15</f>
        <v>0</v>
      </c>
      <c r="H54" s="115" t="s">
        <v>57</v>
      </c>
      <c r="I54" s="120">
        <f>I15*Q$22</f>
        <v>0</v>
      </c>
      <c r="J54" s="115" t="s">
        <v>57</v>
      </c>
      <c r="K54" s="120">
        <f>M15*Q$22</f>
        <v>0</v>
      </c>
      <c r="L54" s="23" t="s">
        <v>140</v>
      </c>
      <c r="M54" s="132">
        <v>570</v>
      </c>
      <c r="N54" s="208" t="s">
        <v>141</v>
      </c>
      <c r="O54" s="148">
        <f>(E54+G54+I54+K54)*M54</f>
        <v>0</v>
      </c>
      <c r="P54" s="23"/>
      <c r="Q54" s="117"/>
      <c r="R54" s="418"/>
    </row>
    <row r="55" spans="2:25" ht="17.100000000000001" customHeight="1">
      <c r="B55" s="12"/>
      <c r="C55" s="17" t="str">
        <f>Texte!A320</f>
        <v>Zone montagne 4</v>
      </c>
      <c r="D55" s="54"/>
      <c r="E55" s="120">
        <f>E16</f>
        <v>0</v>
      </c>
      <c r="F55" s="115" t="s">
        <v>57</v>
      </c>
      <c r="G55" s="120">
        <f>G16</f>
        <v>0</v>
      </c>
      <c r="H55" s="115" t="s">
        <v>57</v>
      </c>
      <c r="I55" s="120">
        <f>I16*Q$22</f>
        <v>0</v>
      </c>
      <c r="J55" s="115" t="s">
        <v>57</v>
      </c>
      <c r="K55" s="120">
        <f>M16*Q$22</f>
        <v>0</v>
      </c>
      <c r="L55" s="23" t="s">
        <v>140</v>
      </c>
      <c r="M55" s="132">
        <v>590</v>
      </c>
      <c r="N55" s="208" t="s">
        <v>141</v>
      </c>
      <c r="O55" s="148">
        <f>(E55+G55+I55+K55)*M55</f>
        <v>0</v>
      </c>
      <c r="P55" s="23"/>
      <c r="Q55" s="117"/>
      <c r="R55" s="418"/>
    </row>
    <row r="56" spans="2:25" ht="17.100000000000001" customHeight="1">
      <c r="B56" s="12"/>
      <c r="C56" s="54"/>
      <c r="D56" s="17"/>
      <c r="E56" s="17"/>
      <c r="F56" s="17"/>
      <c r="G56" s="17"/>
      <c r="H56" s="17"/>
      <c r="I56" s="17"/>
      <c r="J56" s="17"/>
      <c r="K56" s="17"/>
      <c r="L56" s="23"/>
      <c r="M56" s="40"/>
      <c r="N56" s="11"/>
      <c r="O56" s="50" t="str">
        <f>Texte!A252</f>
        <v>Somme contributions</v>
      </c>
      <c r="P56" s="17"/>
      <c r="Q56" s="187"/>
      <c r="R56" s="420"/>
    </row>
    <row r="57" spans="2:25" ht="17.100000000000001" customHeight="1">
      <c r="B57" s="12"/>
      <c r="C57" s="54"/>
      <c r="D57" s="17"/>
      <c r="E57" s="17"/>
      <c r="F57" s="17"/>
      <c r="G57" s="17"/>
      <c r="H57" s="17"/>
      <c r="I57" s="17"/>
      <c r="J57" s="17"/>
      <c r="K57" s="17"/>
      <c r="L57" s="23"/>
      <c r="M57" s="40"/>
      <c r="N57" s="113"/>
      <c r="O57" s="115"/>
      <c r="P57" s="23" t="s">
        <v>141</v>
      </c>
      <c r="Q57" s="52">
        <f>SUM(O40:O55)</f>
        <v>0</v>
      </c>
      <c r="R57" s="418"/>
    </row>
    <row r="58" spans="2:25" ht="9" customHeight="1">
      <c r="B58" s="12"/>
      <c r="C58" s="54"/>
      <c r="D58" s="17"/>
      <c r="E58" s="17"/>
      <c r="F58" s="17"/>
      <c r="G58" s="17"/>
      <c r="H58" s="17"/>
      <c r="I58" s="17"/>
      <c r="J58" s="17"/>
      <c r="K58" s="17"/>
      <c r="L58" s="23"/>
      <c r="M58" s="40"/>
      <c r="N58" s="113"/>
      <c r="O58" s="115"/>
      <c r="P58" s="23"/>
      <c r="Q58" s="117"/>
      <c r="R58" s="418"/>
    </row>
    <row r="59" spans="2:25" ht="17.100000000000001" customHeight="1">
      <c r="B59" s="320"/>
      <c r="C59" s="344" t="str">
        <f>Texte!A91</f>
        <v>Contribution pour terres ouvertes et c. pérennes</v>
      </c>
      <c r="D59" s="17"/>
      <c r="E59" s="17"/>
      <c r="F59" s="17"/>
      <c r="G59" s="17"/>
      <c r="H59" s="17"/>
      <c r="I59" s="17"/>
      <c r="J59" s="17"/>
      <c r="K59" s="17" t="str">
        <f>Texte!A343</f>
        <v>Surface (ha)</v>
      </c>
      <c r="L59" s="23"/>
      <c r="M59" s="645" t="str">
        <f>Texte!A345</f>
        <v>Montant (Fr./ha)</v>
      </c>
      <c r="N59" s="645"/>
      <c r="O59" s="257"/>
      <c r="P59" s="23"/>
      <c r="Q59" s="117"/>
      <c r="R59" s="418"/>
    </row>
    <row r="60" spans="2:25" ht="17.100000000000001" customHeight="1">
      <c r="B60" s="12"/>
      <c r="C60" s="17" t="str">
        <f>Texte!A269</f>
        <v>Terres ouvertes et cultures pérennes (en Suisse et à l'étranger)</v>
      </c>
      <c r="D60" s="253"/>
      <c r="E60" s="253"/>
      <c r="F60" s="253"/>
      <c r="G60" s="253"/>
      <c r="H60" s="253"/>
      <c r="I60" s="253"/>
      <c r="J60" s="253"/>
      <c r="K60" s="120">
        <f>E17+E20</f>
        <v>0</v>
      </c>
      <c r="L60" s="23" t="s">
        <v>140</v>
      </c>
      <c r="M60" s="232">
        <v>400</v>
      </c>
      <c r="N60" s="208" t="s">
        <v>141</v>
      </c>
      <c r="O60" s="327">
        <f>K60*M60</f>
        <v>0</v>
      </c>
      <c r="P60" s="233"/>
      <c r="Q60" s="117"/>
      <c r="R60" s="418"/>
    </row>
    <row r="61" spans="2:25" s="197" customFormat="1" ht="17.100000000000001" customHeight="1">
      <c r="B61" s="12"/>
      <c r="C61" s="47"/>
      <c r="D61" s="54"/>
      <c r="E61" s="47"/>
      <c r="F61" s="47"/>
      <c r="G61" s="47"/>
      <c r="H61" s="47"/>
      <c r="I61" s="47"/>
      <c r="J61" s="54"/>
      <c r="K61" s="47"/>
      <c r="L61" s="11"/>
      <c r="M61" s="47"/>
      <c r="N61" s="11"/>
      <c r="O61" s="50" t="str">
        <f>Texte!A252</f>
        <v>Somme contributions</v>
      </c>
      <c r="P61" s="17"/>
      <c r="Q61" s="187"/>
      <c r="R61" s="420"/>
      <c r="S61" s="205"/>
      <c r="T61" s="205"/>
      <c r="U61" s="381"/>
      <c r="V61" s="381"/>
      <c r="W61" s="381"/>
      <c r="X61" s="381"/>
      <c r="Y61" s="381"/>
    </row>
    <row r="62" spans="2:25" s="197" customFormat="1" ht="17.100000000000001" customHeight="1">
      <c r="B62" s="135"/>
      <c r="C62" s="114"/>
      <c r="D62" s="51"/>
      <c r="E62" s="51"/>
      <c r="F62" s="51"/>
      <c r="G62" s="51"/>
      <c r="H62" s="51"/>
      <c r="I62" s="51"/>
      <c r="J62" s="51"/>
      <c r="K62" s="47"/>
      <c r="L62" s="51"/>
      <c r="M62" s="134"/>
      <c r="N62" s="113"/>
      <c r="O62" s="115"/>
      <c r="P62" s="23" t="s">
        <v>141</v>
      </c>
      <c r="Q62" s="52">
        <f>SUM(O60)</f>
        <v>0</v>
      </c>
      <c r="R62" s="418"/>
      <c r="S62" s="205"/>
      <c r="T62" s="205"/>
      <c r="U62" s="381"/>
      <c r="V62" s="381"/>
      <c r="W62" s="381"/>
      <c r="X62" s="381"/>
      <c r="Y62" s="381"/>
    </row>
    <row r="63" spans="2:25" s="197" customFormat="1" ht="16.5" customHeight="1">
      <c r="B63" s="135"/>
      <c r="C63" s="114"/>
      <c r="D63" s="51"/>
      <c r="E63" s="51"/>
      <c r="F63" s="51"/>
      <c r="G63" s="51"/>
      <c r="H63" s="51"/>
      <c r="I63" s="51"/>
      <c r="J63" s="51"/>
      <c r="K63" s="47"/>
      <c r="L63" s="51"/>
      <c r="M63" s="134"/>
      <c r="N63" s="113"/>
      <c r="O63" s="115"/>
      <c r="P63" s="23"/>
      <c r="Q63" s="117"/>
      <c r="R63" s="418"/>
      <c r="S63" s="205"/>
      <c r="T63" s="205"/>
      <c r="U63" s="381"/>
      <c r="V63" s="381"/>
      <c r="W63" s="381"/>
      <c r="X63" s="381"/>
      <c r="Y63" s="381"/>
    </row>
    <row r="64" spans="2:25" s="186" customFormat="1" ht="16.5" customHeight="1">
      <c r="B64" s="145" t="str">
        <f>Texte!A277</f>
        <v>Total contributions à la sécurité de l'approvisionnement</v>
      </c>
      <c r="C64" s="54"/>
      <c r="D64" s="54"/>
      <c r="E64" s="54"/>
      <c r="F64" s="54"/>
      <c r="G64" s="54"/>
      <c r="H64" s="54"/>
      <c r="I64" s="54"/>
      <c r="J64" s="54"/>
      <c r="K64" s="54"/>
      <c r="L64" s="54"/>
      <c r="M64" s="54"/>
      <c r="N64" s="54"/>
      <c r="O64" s="54"/>
      <c r="P64" s="54"/>
      <c r="Q64" s="191">
        <f>Q57+Q62</f>
        <v>0</v>
      </c>
      <c r="R64" s="421"/>
      <c r="S64" s="385"/>
      <c r="T64" s="385"/>
      <c r="U64" s="386"/>
      <c r="V64" s="386"/>
      <c r="W64" s="386"/>
      <c r="X64" s="386"/>
      <c r="Y64" s="386"/>
    </row>
    <row r="65" spans="1:25" s="186" customFormat="1" ht="20.25">
      <c r="B65" s="326"/>
      <c r="C65" s="661"/>
      <c r="D65" s="662"/>
      <c r="E65" s="662"/>
      <c r="F65" s="662"/>
      <c r="G65" s="662"/>
      <c r="H65" s="662"/>
      <c r="I65" s="662"/>
      <c r="J65" s="662"/>
      <c r="K65" s="662"/>
      <c r="L65" s="662"/>
      <c r="M65" s="662"/>
      <c r="N65" s="662"/>
      <c r="O65" s="662"/>
      <c r="P65" s="662"/>
      <c r="Q65" s="663"/>
      <c r="R65" s="421"/>
      <c r="S65" s="385"/>
      <c r="T65" s="385"/>
      <c r="U65" s="386"/>
      <c r="V65" s="386"/>
      <c r="W65" s="386"/>
      <c r="X65" s="386"/>
      <c r="Y65" s="386"/>
    </row>
    <row r="66" spans="1:25" s="186" customFormat="1" ht="9.9499999999999993" customHeight="1">
      <c r="B66" s="17"/>
      <c r="C66" s="527"/>
      <c r="D66" s="528"/>
      <c r="E66" s="528"/>
      <c r="F66" s="528"/>
      <c r="G66" s="528"/>
      <c r="H66" s="528"/>
      <c r="I66" s="528"/>
      <c r="J66" s="528"/>
      <c r="K66" s="528"/>
      <c r="L66" s="528"/>
      <c r="M66" s="528"/>
      <c r="N66" s="528"/>
      <c r="O66" s="528"/>
      <c r="P66" s="528"/>
      <c r="Q66" s="531"/>
      <c r="R66" s="421"/>
      <c r="S66" s="385"/>
      <c r="T66" s="385"/>
      <c r="U66" s="386"/>
      <c r="V66" s="386"/>
      <c r="W66" s="386"/>
      <c r="X66" s="386"/>
      <c r="Y66" s="386"/>
    </row>
    <row r="67" spans="1:25" ht="16.5" customHeight="1">
      <c r="B67" s="129" t="str">
        <f>Texte!A95</f>
        <v>Contributions pour des cultures particulières (selon Ord. sur les contrib. à des cultures particulières)</v>
      </c>
      <c r="C67" s="17"/>
      <c r="D67" s="17"/>
      <c r="E67" s="17"/>
      <c r="F67" s="17"/>
      <c r="G67" s="17"/>
      <c r="H67" s="17"/>
      <c r="I67" s="17"/>
      <c r="J67" s="17"/>
      <c r="K67" s="17"/>
      <c r="L67" s="17"/>
      <c r="M67" s="17"/>
      <c r="N67" s="17"/>
      <c r="O67" s="17"/>
      <c r="P67" s="17"/>
      <c r="Q67" s="17"/>
      <c r="R67" s="382"/>
    </row>
    <row r="68" spans="1:25" ht="17.100000000000001" customHeight="1">
      <c r="B68" s="330"/>
      <c r="C68" s="212"/>
      <c r="D68" s="123"/>
      <c r="E68" s="123"/>
      <c r="F68" s="123"/>
      <c r="G68" s="123"/>
      <c r="H68" s="123"/>
      <c r="I68" s="123"/>
      <c r="J68" s="61"/>
      <c r="K68" s="61" t="str">
        <f>Texte!A343</f>
        <v>Surface (ha)</v>
      </c>
      <c r="L68" s="331"/>
      <c r="M68" s="660" t="str">
        <f>Texte!A345</f>
        <v>Montant (Fr./ha)</v>
      </c>
      <c r="N68" s="660"/>
      <c r="O68" s="268"/>
      <c r="P68" s="175"/>
      <c r="Q68" s="332"/>
      <c r="R68" s="422"/>
    </row>
    <row r="69" spans="1:25" s="186" customFormat="1" ht="17.100000000000001" customHeight="1">
      <c r="A69" s="182"/>
      <c r="B69" s="73"/>
      <c r="C69" s="645" t="str">
        <f>Texte!A85</f>
        <v>Colza, tournesol, lin et courge à huile, pavot, carthame</v>
      </c>
      <c r="D69" s="656"/>
      <c r="E69" s="656"/>
      <c r="F69" s="656"/>
      <c r="G69" s="656"/>
      <c r="H69" s="656"/>
      <c r="I69" s="656"/>
      <c r="J69" s="656"/>
      <c r="K69" s="328"/>
      <c r="L69" s="233" t="s">
        <v>140</v>
      </c>
      <c r="M69" s="232">
        <v>700</v>
      </c>
      <c r="N69" s="233" t="s">
        <v>141</v>
      </c>
      <c r="O69" s="327">
        <f t="shared" ref="O69:O75" si="3">K69*M69</f>
        <v>0</v>
      </c>
      <c r="Q69" s="27"/>
      <c r="R69" s="384"/>
      <c r="S69" s="385"/>
      <c r="T69" s="385"/>
      <c r="U69" s="386"/>
      <c r="V69" s="386"/>
      <c r="W69" s="386"/>
      <c r="X69" s="386"/>
      <c r="Y69" s="386"/>
    </row>
    <row r="70" spans="1:25" s="247" customFormat="1" ht="16.5" customHeight="1">
      <c r="A70" s="348"/>
      <c r="B70" s="295"/>
      <c r="C70" s="645" t="str">
        <f>Texte!A86</f>
        <v>Plants de pommes de terre et semences de maïs</v>
      </c>
      <c r="D70" s="656"/>
      <c r="E70" s="656"/>
      <c r="F70" s="656"/>
      <c r="G70" s="656"/>
      <c r="H70" s="656"/>
      <c r="I70" s="656"/>
      <c r="J70" s="656"/>
      <c r="K70" s="328"/>
      <c r="L70" s="233" t="s">
        <v>140</v>
      </c>
      <c r="M70" s="232">
        <v>700</v>
      </c>
      <c r="N70" s="233" t="s">
        <v>141</v>
      </c>
      <c r="O70" s="327">
        <f t="shared" si="3"/>
        <v>0</v>
      </c>
      <c r="Q70" s="29"/>
      <c r="R70" s="423"/>
      <c r="S70" s="424"/>
      <c r="T70" s="424"/>
      <c r="U70" s="415"/>
      <c r="V70" s="415"/>
      <c r="W70" s="415"/>
      <c r="X70" s="415"/>
      <c r="Y70" s="415"/>
    </row>
    <row r="71" spans="1:25" s="247" customFormat="1" ht="16.5" customHeight="1">
      <c r="A71" s="348"/>
      <c r="B71" s="295"/>
      <c r="C71" s="645" t="str">
        <f>Texte!A87</f>
        <v>Semences de graminées et légumineuses fourragères</v>
      </c>
      <c r="D71" s="656"/>
      <c r="E71" s="656"/>
      <c r="F71" s="656"/>
      <c r="G71" s="656"/>
      <c r="H71" s="656"/>
      <c r="I71" s="656"/>
      <c r="J71" s="656"/>
      <c r="K71" s="328"/>
      <c r="L71" s="233" t="s">
        <v>140</v>
      </c>
      <c r="M71" s="232">
        <v>1000</v>
      </c>
      <c r="N71" s="233" t="s">
        <v>141</v>
      </c>
      <c r="O71" s="327">
        <f t="shared" si="3"/>
        <v>0</v>
      </c>
      <c r="Q71" s="29"/>
      <c r="R71" s="423"/>
      <c r="S71" s="424"/>
      <c r="T71" s="424"/>
      <c r="U71" s="415"/>
      <c r="V71" s="415"/>
      <c r="W71" s="415"/>
      <c r="X71" s="415"/>
      <c r="Y71" s="415"/>
    </row>
    <row r="72" spans="1:25" ht="17.100000000000001" customHeight="1">
      <c r="A72" s="182"/>
      <c r="B72" s="73"/>
      <c r="C72" s="645" t="str">
        <f>Texte!A88</f>
        <v>Soja</v>
      </c>
      <c r="D72" s="656"/>
      <c r="E72" s="656"/>
      <c r="F72" s="656"/>
      <c r="G72" s="656"/>
      <c r="H72" s="656"/>
      <c r="I72" s="656"/>
      <c r="J72" s="656"/>
      <c r="K72" s="329"/>
      <c r="L72" s="23" t="s">
        <v>140</v>
      </c>
      <c r="M72" s="39">
        <v>1000</v>
      </c>
      <c r="N72" s="23" t="s">
        <v>141</v>
      </c>
      <c r="O72" s="148">
        <f t="shared" si="3"/>
        <v>0</v>
      </c>
      <c r="Q72" s="29"/>
      <c r="R72" s="423"/>
    </row>
    <row r="73" spans="1:25" ht="17.100000000000001" customHeight="1">
      <c r="A73" s="182"/>
      <c r="B73" s="73"/>
      <c r="C73" s="645" t="str">
        <f>Texte!A89</f>
        <v>Pois protéagineux, féverole et lupin fourragers</v>
      </c>
      <c r="D73" s="656"/>
      <c r="E73" s="656"/>
      <c r="F73" s="656"/>
      <c r="G73" s="656"/>
      <c r="H73" s="656"/>
      <c r="I73" s="656"/>
      <c r="J73" s="656"/>
      <c r="K73" s="329"/>
      <c r="L73" s="23" t="s">
        <v>140</v>
      </c>
      <c r="M73" s="39">
        <v>1000</v>
      </c>
      <c r="N73" s="23" t="s">
        <v>141</v>
      </c>
      <c r="O73" s="148">
        <f t="shared" si="3"/>
        <v>0</v>
      </c>
      <c r="Q73" s="29"/>
      <c r="R73" s="423"/>
    </row>
    <row r="74" spans="1:25" ht="17.100000000000001" customHeight="1">
      <c r="A74" s="182"/>
      <c r="B74" s="73"/>
      <c r="C74" s="645" t="str">
        <f>Texte!A90</f>
        <v>Betteraves destinées à la production de sucre</v>
      </c>
      <c r="D74" s="656"/>
      <c r="E74" s="656"/>
      <c r="F74" s="656"/>
      <c r="G74" s="656"/>
      <c r="H74" s="656"/>
      <c r="I74" s="656"/>
      <c r="J74" s="656"/>
      <c r="K74" s="329"/>
      <c r="L74" s="23" t="s">
        <v>140</v>
      </c>
      <c r="M74" s="39">
        <v>2100</v>
      </c>
      <c r="N74" s="23" t="s">
        <v>141</v>
      </c>
      <c r="O74" s="148">
        <f t="shared" si="3"/>
        <v>0</v>
      </c>
      <c r="P74" s="538"/>
      <c r="Q74" s="539"/>
      <c r="R74" s="425"/>
      <c r="S74" s="530"/>
    </row>
    <row r="75" spans="1:25" ht="17.100000000000001" customHeight="1">
      <c r="A75" s="182"/>
      <c r="B75" s="73"/>
      <c r="C75" s="307" t="str">
        <f>Texte!A151</f>
        <v>Contribution supplémentaire pour les betteraves destinées à la fabrication de sucre</v>
      </c>
      <c r="D75" s="307"/>
      <c r="E75" s="307"/>
      <c r="F75" s="307"/>
      <c r="G75" s="307"/>
      <c r="H75" s="307"/>
      <c r="I75" s="307"/>
      <c r="J75" s="307" t="s">
        <v>1223</v>
      </c>
      <c r="K75" s="329"/>
      <c r="L75" s="23" t="s">
        <v>140</v>
      </c>
      <c r="M75" s="39">
        <v>200</v>
      </c>
      <c r="N75" s="23" t="s">
        <v>141</v>
      </c>
      <c r="O75" s="148">
        <f t="shared" si="3"/>
        <v>0</v>
      </c>
      <c r="P75" s="617"/>
      <c r="Q75" s="539"/>
      <c r="R75" s="425"/>
      <c r="S75" s="530"/>
    </row>
    <row r="76" spans="1:25" ht="17.100000000000001" customHeight="1">
      <c r="A76" s="182"/>
      <c r="B76" s="73"/>
      <c r="C76" s="143" t="str">
        <f>Texte!A488</f>
        <v>Supplément pour les céréales</v>
      </c>
      <c r="D76" s="537"/>
      <c r="E76" s="537"/>
      <c r="F76" s="537"/>
      <c r="G76" s="537"/>
      <c r="H76" s="537"/>
      <c r="I76" s="537"/>
      <c r="J76" s="537"/>
      <c r="K76" s="329"/>
      <c r="L76" s="23" t="s">
        <v>140</v>
      </c>
      <c r="M76" s="550">
        <v>120</v>
      </c>
      <c r="N76" s="23" t="s">
        <v>141</v>
      </c>
      <c r="O76" s="148">
        <f t="shared" ref="O76" si="4">K76*M76</f>
        <v>0</v>
      </c>
      <c r="P76" s="577" t="s">
        <v>490</v>
      </c>
      <c r="Q76" s="539"/>
      <c r="R76" s="425"/>
      <c r="S76" s="530"/>
    </row>
    <row r="77" spans="1:25" ht="17.100000000000001" customHeight="1">
      <c r="A77" s="182"/>
      <c r="B77" s="73"/>
      <c r="C77" s="17" t="str">
        <f>Texte!A480</f>
        <v>Aucune contribution n’est versée pour les bandes culturales extensives</v>
      </c>
      <c r="D77" s="54"/>
      <c r="E77" s="11"/>
      <c r="F77" s="11"/>
      <c r="G77" s="11"/>
      <c r="H77" s="11"/>
      <c r="I77" s="11"/>
      <c r="J77" s="11"/>
      <c r="K77" s="11"/>
      <c r="L77" s="40"/>
      <c r="M77" s="40"/>
      <c r="N77" s="23"/>
      <c r="O77" s="47"/>
      <c r="P77" s="538"/>
      <c r="Q77" s="539"/>
      <c r="R77" s="425"/>
    </row>
    <row r="78" spans="1:25" ht="17.100000000000001" customHeight="1">
      <c r="A78" s="182"/>
      <c r="B78" s="73"/>
      <c r="C78" s="17" t="str">
        <f>Texte!A489</f>
        <v>*La contribution exacte est calculée chaque année sur la base des moyens autorisés pour le supplément et de la superficie céréalière donnant droit au supplément</v>
      </c>
      <c r="D78" s="54"/>
      <c r="E78" s="11"/>
      <c r="F78" s="11"/>
      <c r="G78" s="11"/>
      <c r="H78" s="11"/>
      <c r="I78" s="11"/>
      <c r="J78" s="11"/>
      <c r="K78" s="11"/>
      <c r="L78" s="40"/>
      <c r="M78" s="40"/>
      <c r="N78" s="23"/>
      <c r="O78" s="47"/>
      <c r="P78" s="538"/>
      <c r="Q78" s="539"/>
      <c r="R78" s="425"/>
    </row>
    <row r="79" spans="1:25" ht="30" customHeight="1">
      <c r="A79" s="182"/>
      <c r="B79" s="73"/>
      <c r="C79" s="664" t="str">
        <f>Texte!A152</f>
        <v>**Le supplément est versé à la condition qu’une des contributions suivantes soit versée: la contribution pour l’agriculture biologique ou la contribution pour le non-recours aux fongicides et aux insecticides.</v>
      </c>
      <c r="D79" s="664"/>
      <c r="E79" s="664"/>
      <c r="F79" s="664"/>
      <c r="G79" s="664"/>
      <c r="H79" s="664"/>
      <c r="I79" s="664"/>
      <c r="J79" s="664"/>
      <c r="K79" s="664"/>
      <c r="L79" s="664"/>
      <c r="M79" s="664"/>
      <c r="N79" s="664"/>
      <c r="O79" s="664"/>
      <c r="P79" s="664"/>
      <c r="Q79" s="665"/>
      <c r="R79" s="425"/>
    </row>
    <row r="80" spans="1:25" ht="9" customHeight="1">
      <c r="A80" s="182"/>
      <c r="B80" s="73"/>
      <c r="C80" s="17"/>
      <c r="D80" s="54"/>
      <c r="E80" s="11"/>
      <c r="F80" s="11"/>
      <c r="G80" s="11"/>
      <c r="H80" s="11"/>
      <c r="I80" s="11"/>
      <c r="J80" s="11"/>
      <c r="K80" s="11"/>
      <c r="L80" s="40"/>
      <c r="M80" s="40"/>
      <c r="N80" s="23"/>
      <c r="O80" s="47"/>
      <c r="P80" s="287"/>
      <c r="Q80" s="288"/>
      <c r="R80" s="425"/>
    </row>
    <row r="81" spans="2:25" s="186" customFormat="1" ht="17.100000000000001" customHeight="1">
      <c r="B81" s="145" t="str">
        <f>Texte!A96</f>
        <v>Total contributions pour des cultures particulières</v>
      </c>
      <c r="C81" s="54"/>
      <c r="D81" s="54"/>
      <c r="E81" s="54"/>
      <c r="F81" s="54"/>
      <c r="G81" s="54"/>
      <c r="H81" s="54"/>
      <c r="I81" s="54"/>
      <c r="J81" s="54"/>
      <c r="K81" s="54"/>
      <c r="L81" s="54"/>
      <c r="M81" s="54"/>
      <c r="N81" s="54"/>
      <c r="O81" s="54"/>
      <c r="P81" s="54"/>
      <c r="Q81" s="191">
        <f>SUM(O69:O76)</f>
        <v>0</v>
      </c>
      <c r="R81" s="421"/>
      <c r="S81" s="385"/>
      <c r="T81" s="385"/>
      <c r="U81" s="386"/>
      <c r="V81" s="386"/>
      <c r="W81" s="386"/>
      <c r="X81" s="386"/>
      <c r="Y81" s="386"/>
    </row>
    <row r="82" spans="2:25" s="186" customFormat="1" ht="6" customHeight="1">
      <c r="B82" s="192"/>
      <c r="C82" s="193"/>
      <c r="D82" s="193"/>
      <c r="E82" s="193"/>
      <c r="F82" s="193"/>
      <c r="G82" s="193"/>
      <c r="H82" s="193"/>
      <c r="I82" s="193"/>
      <c r="J82" s="193"/>
      <c r="K82" s="193"/>
      <c r="L82" s="193"/>
      <c r="M82" s="193"/>
      <c r="N82" s="193"/>
      <c r="O82" s="193"/>
      <c r="P82" s="193"/>
      <c r="Q82" s="194"/>
      <c r="R82" s="205"/>
      <c r="S82" s="385"/>
      <c r="T82" s="385"/>
      <c r="U82" s="386"/>
      <c r="V82" s="386"/>
      <c r="W82" s="386"/>
      <c r="X82" s="386"/>
      <c r="Y82" s="386"/>
    </row>
    <row r="83" spans="2:25" ht="30" customHeight="1">
      <c r="C83" s="636" t="str">
        <f>Texte!A327</f>
        <v>Etat selon modifications d'ordonnances dans le cadre de l'initiative parlementaire 19.475 d'avril 2022. 
AGRIDEA décline toute responsabilité quant aux conséquences de l’utilisation de cet outil.                                                          Version 4.9.3</v>
      </c>
      <c r="D83" s="637"/>
      <c r="E83" s="637"/>
      <c r="F83" s="637"/>
      <c r="G83" s="637"/>
      <c r="H83" s="637"/>
      <c r="I83" s="637"/>
      <c r="J83" s="637"/>
      <c r="K83" s="637"/>
      <c r="L83" s="637"/>
      <c r="M83" s="637"/>
      <c r="N83" s="637"/>
      <c r="O83" s="637"/>
      <c r="P83" s="637"/>
      <c r="Q83" s="637"/>
      <c r="R83" s="426"/>
    </row>
    <row r="84" spans="2:25" s="186" customFormat="1" ht="17.100000000000001" customHeight="1">
      <c r="B84" s="184"/>
      <c r="C84" s="184"/>
      <c r="D84" s="184"/>
      <c r="E84" s="184"/>
      <c r="F84" s="184"/>
      <c r="G84" s="184"/>
      <c r="H84" s="184"/>
      <c r="I84" s="184"/>
      <c r="J84" s="184"/>
      <c r="K84" s="184"/>
      <c r="L84" s="184"/>
      <c r="M84" s="184"/>
      <c r="N84" s="184"/>
      <c r="O84" s="184"/>
      <c r="P84" s="184"/>
      <c r="Q84" s="184"/>
      <c r="R84" s="417"/>
      <c r="S84" s="385"/>
      <c r="T84" s="385"/>
      <c r="U84" s="386"/>
      <c r="V84" s="386"/>
      <c r="W84" s="386"/>
      <c r="X84" s="386"/>
      <c r="Y84" s="386"/>
    </row>
    <row r="85" spans="2:25" s="186" customFormat="1" ht="17.100000000000001" customHeight="1">
      <c r="B85" s="184"/>
      <c r="C85" s="184"/>
      <c r="D85" s="184"/>
      <c r="E85" s="184"/>
      <c r="F85" s="184"/>
      <c r="G85" s="184"/>
      <c r="H85" s="184"/>
      <c r="I85" s="184"/>
      <c r="J85" s="184"/>
      <c r="K85" s="184"/>
      <c r="L85" s="184"/>
      <c r="M85" s="184"/>
      <c r="N85" s="184"/>
      <c r="O85" s="184"/>
      <c r="P85" s="184"/>
      <c r="Q85" s="184"/>
      <c r="R85" s="417"/>
      <c r="S85" s="385"/>
      <c r="T85" s="385"/>
      <c r="U85" s="386"/>
      <c r="V85" s="386"/>
      <c r="W85" s="386"/>
      <c r="X85" s="386"/>
      <c r="Y85" s="386"/>
    </row>
    <row r="86" spans="2:25" s="186" customFormat="1" ht="17.100000000000001" customHeight="1">
      <c r="B86" s="184"/>
      <c r="C86" s="184"/>
      <c r="D86" s="184"/>
      <c r="E86" s="184"/>
      <c r="F86" s="184"/>
      <c r="G86" s="184"/>
      <c r="H86" s="184"/>
      <c r="I86" s="184"/>
      <c r="J86" s="184"/>
      <c r="K86" s="184"/>
      <c r="L86" s="184"/>
      <c r="M86" s="184"/>
      <c r="N86" s="184"/>
      <c r="O86" s="184"/>
      <c r="P86" s="184"/>
      <c r="Q86" s="184"/>
      <c r="R86" s="417"/>
      <c r="S86" s="385"/>
      <c r="T86" s="385"/>
      <c r="U86" s="386"/>
      <c r="V86" s="386"/>
      <c r="W86" s="386"/>
      <c r="X86" s="386"/>
      <c r="Y86" s="386"/>
    </row>
    <row r="87" spans="2:25" s="186" customFormat="1" ht="17.100000000000001" customHeight="1">
      <c r="B87" s="184"/>
      <c r="C87" s="184"/>
      <c r="D87" s="184"/>
      <c r="E87" s="184"/>
      <c r="F87" s="184"/>
      <c r="G87" s="184"/>
      <c r="H87" s="184"/>
      <c r="I87" s="184"/>
      <c r="J87" s="184"/>
      <c r="K87" s="184"/>
      <c r="L87" s="184"/>
      <c r="M87" s="184"/>
      <c r="N87" s="184"/>
      <c r="O87" s="184"/>
      <c r="P87" s="184"/>
      <c r="Q87" s="184"/>
      <c r="R87" s="417"/>
      <c r="S87" s="385"/>
      <c r="T87" s="385"/>
      <c r="U87" s="386"/>
      <c r="V87" s="386"/>
      <c r="W87" s="386"/>
      <c r="X87" s="386"/>
      <c r="Y87" s="386"/>
    </row>
    <row r="88" spans="2:25" s="186" customFormat="1" ht="17.100000000000001" customHeight="1">
      <c r="B88" s="184"/>
      <c r="C88" s="184"/>
      <c r="D88" s="184"/>
      <c r="E88" s="184"/>
      <c r="F88" s="184"/>
      <c r="G88" s="184"/>
      <c r="H88" s="184"/>
      <c r="I88" s="184"/>
      <c r="J88" s="184"/>
      <c r="K88" s="184"/>
      <c r="L88" s="184"/>
      <c r="M88" s="184"/>
      <c r="N88" s="184"/>
      <c r="O88" s="184"/>
      <c r="P88" s="184"/>
      <c r="Q88" s="184"/>
      <c r="R88" s="417"/>
      <c r="S88" s="385"/>
      <c r="T88" s="385"/>
      <c r="U88" s="386"/>
      <c r="V88" s="386"/>
      <c r="W88" s="386"/>
      <c r="X88" s="386"/>
      <c r="Y88" s="386"/>
    </row>
    <row r="89" spans="2:25" s="186" customFormat="1" ht="17.100000000000001" customHeight="1">
      <c r="B89" s="184"/>
      <c r="C89" s="184"/>
      <c r="D89" s="184"/>
      <c r="E89" s="184"/>
      <c r="F89" s="184"/>
      <c r="G89" s="184"/>
      <c r="H89" s="184"/>
      <c r="I89" s="184"/>
      <c r="J89" s="184"/>
      <c r="K89" s="184"/>
      <c r="L89" s="184"/>
      <c r="M89" s="184"/>
      <c r="N89" s="184"/>
      <c r="O89" s="184"/>
      <c r="P89" s="184"/>
      <c r="Q89" s="184"/>
      <c r="R89" s="417"/>
      <c r="S89" s="385"/>
      <c r="T89" s="385"/>
      <c r="U89" s="386"/>
      <c r="V89" s="386"/>
      <c r="W89" s="386"/>
      <c r="X89" s="386"/>
      <c r="Y89" s="386"/>
    </row>
    <row r="90" spans="2:25" s="186" customFormat="1" ht="17.100000000000001" customHeight="1">
      <c r="B90" s="184"/>
      <c r="C90" s="184"/>
      <c r="D90" s="184"/>
      <c r="E90" s="184"/>
      <c r="F90" s="184"/>
      <c r="G90" s="184"/>
      <c r="H90" s="184"/>
      <c r="I90" s="184"/>
      <c r="J90" s="184"/>
      <c r="K90" s="184"/>
      <c r="L90" s="184"/>
      <c r="M90" s="184"/>
      <c r="N90" s="184"/>
      <c r="O90" s="184"/>
      <c r="P90" s="184"/>
      <c r="Q90" s="184"/>
      <c r="R90" s="417"/>
      <c r="S90" s="385"/>
      <c r="T90" s="385"/>
      <c r="U90" s="386"/>
      <c r="V90" s="386"/>
      <c r="W90" s="386"/>
      <c r="X90" s="386"/>
      <c r="Y90" s="386"/>
    </row>
    <row r="91" spans="2:25" s="186" customFormat="1" ht="17.100000000000001" customHeight="1">
      <c r="B91" s="184"/>
      <c r="C91" s="184"/>
      <c r="D91" s="184"/>
      <c r="E91" s="184"/>
      <c r="F91" s="184"/>
      <c r="G91" s="184"/>
      <c r="H91" s="184"/>
      <c r="I91" s="184"/>
      <c r="J91" s="184"/>
      <c r="K91" s="184"/>
      <c r="L91" s="184"/>
      <c r="M91" s="184"/>
      <c r="N91" s="184"/>
      <c r="O91" s="184"/>
      <c r="P91" s="184"/>
      <c r="Q91" s="184"/>
      <c r="R91" s="417"/>
      <c r="S91" s="385"/>
      <c r="T91" s="385"/>
      <c r="U91" s="386"/>
      <c r="V91" s="386"/>
      <c r="W91" s="386"/>
      <c r="X91" s="386"/>
      <c r="Y91" s="386"/>
    </row>
    <row r="92" spans="2:25" s="186" customFormat="1" ht="17.100000000000001" customHeight="1">
      <c r="B92" s="184"/>
      <c r="C92" s="184"/>
      <c r="D92" s="184"/>
      <c r="E92" s="184"/>
      <c r="F92" s="184"/>
      <c r="G92" s="184"/>
      <c r="H92" s="184"/>
      <c r="I92" s="184"/>
      <c r="J92" s="184"/>
      <c r="K92" s="184"/>
      <c r="L92" s="184"/>
      <c r="M92" s="184"/>
      <c r="N92" s="184"/>
      <c r="O92" s="184"/>
      <c r="P92" s="184"/>
      <c r="Q92" s="184"/>
      <c r="R92" s="417"/>
      <c r="S92" s="385"/>
      <c r="T92" s="385"/>
      <c r="U92" s="386"/>
      <c r="V92" s="386"/>
      <c r="W92" s="386"/>
      <c r="X92" s="386"/>
      <c r="Y92" s="386"/>
    </row>
    <row r="93" spans="2:25" s="186" customFormat="1" ht="17.100000000000001" customHeight="1">
      <c r="B93" s="184"/>
      <c r="C93" s="184"/>
      <c r="D93" s="184"/>
      <c r="E93" s="184"/>
      <c r="F93" s="184"/>
      <c r="G93" s="184"/>
      <c r="H93" s="184"/>
      <c r="I93" s="184"/>
      <c r="J93" s="184"/>
      <c r="K93" s="184"/>
      <c r="L93" s="184"/>
      <c r="M93" s="184"/>
      <c r="N93" s="184"/>
      <c r="O93" s="184"/>
      <c r="P93" s="184"/>
      <c r="Q93" s="184"/>
      <c r="R93" s="417"/>
      <c r="S93" s="385"/>
      <c r="T93" s="385"/>
      <c r="U93" s="386"/>
      <c r="V93" s="386"/>
      <c r="W93" s="386"/>
      <c r="X93" s="386"/>
      <c r="Y93" s="386"/>
    </row>
    <row r="94" spans="2:25" s="186" customFormat="1" ht="17.100000000000001" customHeight="1">
      <c r="B94" s="184"/>
      <c r="C94" s="184"/>
      <c r="D94" s="184"/>
      <c r="E94" s="184"/>
      <c r="F94" s="184"/>
      <c r="G94" s="184"/>
      <c r="H94" s="184"/>
      <c r="I94" s="184"/>
      <c r="J94" s="184"/>
      <c r="K94" s="184"/>
      <c r="L94" s="184"/>
      <c r="M94" s="184"/>
      <c r="N94" s="184"/>
      <c r="O94" s="184"/>
      <c r="P94" s="184"/>
      <c r="Q94" s="184"/>
      <c r="R94" s="417"/>
      <c r="S94" s="385"/>
      <c r="T94" s="385"/>
      <c r="U94" s="386"/>
      <c r="V94" s="386"/>
      <c r="W94" s="386"/>
      <c r="X94" s="386"/>
      <c r="Y94" s="386"/>
    </row>
    <row r="95" spans="2:25" s="186" customFormat="1" ht="17.100000000000001" customHeight="1">
      <c r="B95" s="184"/>
      <c r="C95" s="184"/>
      <c r="D95" s="184"/>
      <c r="E95" s="184"/>
      <c r="F95" s="184"/>
      <c r="G95" s="184"/>
      <c r="H95" s="184"/>
      <c r="I95" s="184"/>
      <c r="J95" s="184"/>
      <c r="K95" s="184"/>
      <c r="L95" s="184"/>
      <c r="M95" s="184"/>
      <c r="N95" s="184"/>
      <c r="O95" s="184"/>
      <c r="P95" s="184"/>
      <c r="Q95" s="184"/>
      <c r="R95" s="417"/>
      <c r="S95" s="385"/>
      <c r="T95" s="385"/>
      <c r="U95" s="386"/>
      <c r="V95" s="386"/>
      <c r="W95" s="386"/>
      <c r="X95" s="386"/>
      <c r="Y95" s="386"/>
    </row>
    <row r="96" spans="2:25" s="186" customFormat="1" ht="17.100000000000001" customHeight="1">
      <c r="B96" s="184"/>
      <c r="C96" s="184"/>
      <c r="D96" s="184"/>
      <c r="E96" s="184"/>
      <c r="F96" s="184"/>
      <c r="G96" s="184"/>
      <c r="H96" s="184"/>
      <c r="I96" s="184"/>
      <c r="J96" s="184"/>
      <c r="K96" s="184"/>
      <c r="L96" s="184"/>
      <c r="M96" s="184"/>
      <c r="N96" s="184"/>
      <c r="O96" s="184"/>
      <c r="P96" s="184"/>
      <c r="Q96" s="184"/>
      <c r="R96" s="417"/>
      <c r="S96" s="385"/>
      <c r="T96" s="385"/>
      <c r="U96" s="386"/>
      <c r="V96" s="386"/>
      <c r="W96" s="386"/>
      <c r="X96" s="386"/>
      <c r="Y96" s="386"/>
    </row>
    <row r="97" spans="2:25" s="186" customFormat="1" ht="17.100000000000001" customHeight="1">
      <c r="B97" s="184"/>
      <c r="C97" s="184"/>
      <c r="D97" s="184"/>
      <c r="E97" s="184"/>
      <c r="F97" s="184"/>
      <c r="G97" s="184"/>
      <c r="H97" s="184"/>
      <c r="I97" s="184"/>
      <c r="J97" s="184"/>
      <c r="K97" s="184"/>
      <c r="L97" s="184"/>
      <c r="M97" s="184"/>
      <c r="N97" s="184"/>
      <c r="O97" s="184"/>
      <c r="P97" s="184"/>
      <c r="Q97" s="184"/>
      <c r="R97" s="417"/>
      <c r="S97" s="385"/>
      <c r="T97" s="385"/>
      <c r="U97" s="386"/>
      <c r="V97" s="386"/>
      <c r="W97" s="386"/>
      <c r="X97" s="386"/>
      <c r="Y97" s="386"/>
    </row>
    <row r="98" spans="2:25" s="186" customFormat="1" ht="17.100000000000001" customHeight="1">
      <c r="B98" s="184"/>
      <c r="C98" s="184"/>
      <c r="D98" s="184"/>
      <c r="E98" s="184"/>
      <c r="F98" s="184"/>
      <c r="G98" s="184"/>
      <c r="H98" s="184"/>
      <c r="I98" s="184"/>
      <c r="J98" s="184"/>
      <c r="K98" s="184"/>
      <c r="L98" s="184"/>
      <c r="M98" s="184"/>
      <c r="N98" s="184"/>
      <c r="O98" s="184"/>
      <c r="P98" s="184"/>
      <c r="Q98" s="184"/>
      <c r="R98" s="417"/>
      <c r="S98" s="385"/>
      <c r="T98" s="385"/>
      <c r="U98" s="386"/>
      <c r="V98" s="386"/>
      <c r="W98" s="386"/>
      <c r="X98" s="386"/>
      <c r="Y98" s="386"/>
    </row>
    <row r="99" spans="2:25" s="186" customFormat="1" ht="17.100000000000001" customHeight="1">
      <c r="B99" s="184"/>
      <c r="C99" s="184"/>
      <c r="D99" s="184"/>
      <c r="E99" s="184"/>
      <c r="F99" s="184"/>
      <c r="G99" s="184"/>
      <c r="H99" s="184"/>
      <c r="I99" s="184"/>
      <c r="J99" s="184"/>
      <c r="K99" s="184"/>
      <c r="L99" s="184"/>
      <c r="M99" s="184"/>
      <c r="N99" s="184"/>
      <c r="O99" s="184"/>
      <c r="P99" s="184"/>
      <c r="Q99" s="184"/>
      <c r="R99" s="417"/>
      <c r="S99" s="385"/>
      <c r="T99" s="385"/>
      <c r="U99" s="386"/>
      <c r="V99" s="386"/>
      <c r="W99" s="386"/>
      <c r="X99" s="386"/>
      <c r="Y99" s="386"/>
    </row>
    <row r="100" spans="2:25" s="186" customFormat="1" ht="17.100000000000001" customHeight="1">
      <c r="B100" s="184"/>
      <c r="C100" s="184"/>
      <c r="D100" s="184"/>
      <c r="E100" s="184"/>
      <c r="F100" s="184"/>
      <c r="G100" s="184"/>
      <c r="H100" s="184"/>
      <c r="I100" s="184"/>
      <c r="J100" s="184"/>
      <c r="K100" s="184"/>
      <c r="L100" s="184"/>
      <c r="M100" s="184"/>
      <c r="N100" s="184"/>
      <c r="O100" s="184"/>
      <c r="P100" s="184"/>
      <c r="Q100" s="184"/>
      <c r="R100" s="417"/>
      <c r="S100" s="385"/>
      <c r="T100" s="385"/>
      <c r="U100" s="386"/>
      <c r="V100" s="386"/>
      <c r="W100" s="386"/>
      <c r="X100" s="386"/>
      <c r="Y100" s="386"/>
    </row>
    <row r="101" spans="2:25" s="186" customFormat="1" ht="17.100000000000001" customHeight="1">
      <c r="B101" s="11"/>
      <c r="C101" s="11"/>
      <c r="D101" s="11"/>
      <c r="E101" s="11"/>
      <c r="F101" s="11"/>
      <c r="G101" s="11"/>
      <c r="H101" s="11"/>
      <c r="I101" s="11"/>
      <c r="J101" s="11"/>
      <c r="K101" s="11"/>
      <c r="L101" s="11"/>
      <c r="M101" s="11"/>
      <c r="N101" s="11"/>
      <c r="O101" s="11"/>
      <c r="P101" s="11"/>
      <c r="Q101" s="11"/>
      <c r="R101" s="383"/>
      <c r="S101" s="385"/>
      <c r="T101" s="385"/>
      <c r="U101" s="386"/>
      <c r="V101" s="386"/>
      <c r="W101" s="386"/>
      <c r="X101" s="386"/>
      <c r="Y101" s="386"/>
    </row>
    <row r="102" spans="2:25" s="186" customFormat="1" ht="14.1" customHeight="1">
      <c r="B102" s="11"/>
      <c r="C102" s="11"/>
      <c r="D102" s="11"/>
      <c r="E102" s="11"/>
      <c r="F102" s="11"/>
      <c r="G102" s="11"/>
      <c r="H102" s="11"/>
      <c r="I102" s="11"/>
      <c r="J102" s="11"/>
      <c r="K102" s="11"/>
      <c r="L102" s="11"/>
      <c r="M102" s="11"/>
      <c r="N102" s="11"/>
      <c r="O102" s="11"/>
      <c r="P102" s="11"/>
      <c r="Q102" s="11"/>
      <c r="R102" s="383"/>
      <c r="S102" s="385"/>
      <c r="T102" s="385"/>
      <c r="U102" s="386"/>
      <c r="V102" s="386"/>
      <c r="W102" s="386"/>
      <c r="X102" s="386"/>
      <c r="Y102" s="386"/>
    </row>
    <row r="103" spans="2:25" ht="14.1" customHeight="1">
      <c r="B103" s="2"/>
      <c r="C103" s="2"/>
      <c r="D103" s="2"/>
      <c r="E103" s="2"/>
      <c r="F103" s="2"/>
      <c r="G103" s="2"/>
      <c r="H103" s="2"/>
      <c r="I103" s="2"/>
      <c r="J103" s="2"/>
      <c r="K103" s="2"/>
      <c r="L103" s="2"/>
      <c r="M103" s="2"/>
      <c r="N103" s="2"/>
      <c r="O103" s="2"/>
      <c r="P103" s="2"/>
      <c r="Q103" s="2"/>
      <c r="R103" s="382"/>
    </row>
    <row r="104" spans="2:25" ht="14.1" customHeight="1">
      <c r="B104" s="2"/>
      <c r="C104" s="2"/>
      <c r="D104" s="2"/>
      <c r="E104" s="2"/>
      <c r="F104" s="2"/>
      <c r="G104" s="2"/>
      <c r="H104" s="2"/>
      <c r="I104" s="2"/>
      <c r="J104" s="2"/>
      <c r="K104" s="2"/>
      <c r="L104" s="2"/>
      <c r="M104" s="2"/>
      <c r="N104" s="2"/>
      <c r="O104" s="2"/>
      <c r="P104" s="2"/>
      <c r="Q104" s="2"/>
      <c r="R104" s="382"/>
    </row>
    <row r="105" spans="2:25" ht="14.1" customHeight="1">
      <c r="B105" s="2"/>
      <c r="C105" s="2"/>
      <c r="D105" s="2"/>
      <c r="E105" s="2"/>
      <c r="F105" s="2"/>
      <c r="G105" s="2"/>
      <c r="H105" s="2"/>
      <c r="I105" s="2"/>
      <c r="J105" s="2"/>
      <c r="K105" s="2"/>
      <c r="L105" s="2"/>
      <c r="M105" s="2"/>
      <c r="N105" s="2"/>
      <c r="O105" s="2"/>
      <c r="P105" s="2"/>
      <c r="Q105" s="2"/>
      <c r="R105" s="382"/>
    </row>
    <row r="106" spans="2:25" ht="14.1" customHeight="1">
      <c r="B106" s="2"/>
      <c r="C106" s="2"/>
      <c r="D106" s="2"/>
      <c r="E106" s="2"/>
      <c r="F106" s="2"/>
      <c r="G106" s="2"/>
      <c r="H106" s="2"/>
      <c r="I106" s="2"/>
      <c r="J106" s="2"/>
      <c r="K106" s="2"/>
      <c r="L106" s="2"/>
      <c r="M106" s="2"/>
      <c r="N106" s="2"/>
      <c r="O106" s="2"/>
      <c r="P106" s="2"/>
      <c r="Q106" s="2"/>
      <c r="R106" s="382"/>
    </row>
    <row r="107" spans="2:25" ht="14.1" customHeight="1">
      <c r="B107" s="2"/>
      <c r="C107" s="2"/>
      <c r="D107" s="2"/>
      <c r="E107" s="2"/>
      <c r="F107" s="2"/>
      <c r="G107" s="2"/>
      <c r="H107" s="2"/>
      <c r="I107" s="2"/>
      <c r="J107" s="2"/>
      <c r="K107" s="2"/>
      <c r="L107" s="2"/>
      <c r="M107" s="2"/>
      <c r="N107" s="2"/>
      <c r="O107" s="2"/>
      <c r="P107" s="2"/>
      <c r="Q107" s="2"/>
      <c r="R107" s="382"/>
    </row>
    <row r="108" spans="2:25" ht="14.1" customHeight="1">
      <c r="B108" s="2"/>
      <c r="C108" s="2"/>
      <c r="D108" s="2"/>
      <c r="E108" s="2"/>
      <c r="F108" s="2"/>
      <c r="G108" s="2"/>
      <c r="H108" s="2"/>
      <c r="I108" s="2"/>
      <c r="J108" s="2"/>
      <c r="K108" s="2"/>
      <c r="L108" s="2"/>
      <c r="M108" s="2"/>
      <c r="N108" s="2"/>
      <c r="O108" s="2"/>
      <c r="P108" s="2"/>
      <c r="Q108" s="2"/>
      <c r="R108" s="382"/>
    </row>
    <row r="109" spans="2:25" ht="14.1" customHeight="1">
      <c r="B109" s="2"/>
      <c r="C109" s="2"/>
      <c r="D109" s="2"/>
      <c r="E109" s="2"/>
      <c r="F109" s="2"/>
      <c r="G109" s="2"/>
      <c r="H109" s="2"/>
      <c r="I109" s="2"/>
      <c r="J109" s="2"/>
      <c r="K109" s="2"/>
      <c r="L109" s="2"/>
      <c r="M109" s="2"/>
      <c r="N109" s="2"/>
      <c r="O109" s="2"/>
      <c r="P109" s="2"/>
      <c r="Q109" s="2"/>
      <c r="R109" s="382"/>
    </row>
    <row r="110" spans="2:25" ht="14.1" customHeight="1">
      <c r="B110" s="2"/>
      <c r="C110" s="2"/>
      <c r="D110" s="2"/>
      <c r="E110" s="2"/>
      <c r="F110" s="2"/>
      <c r="G110" s="2"/>
      <c r="H110" s="2"/>
      <c r="I110" s="2"/>
      <c r="J110" s="2"/>
      <c r="K110" s="2"/>
      <c r="L110" s="2"/>
      <c r="M110" s="2"/>
      <c r="N110" s="2"/>
      <c r="O110" s="2"/>
      <c r="P110" s="2"/>
      <c r="Q110" s="2"/>
      <c r="R110" s="382"/>
    </row>
    <row r="111" spans="2:25" ht="14.1" customHeight="1">
      <c r="B111" s="2"/>
      <c r="C111" s="2"/>
      <c r="D111" s="2"/>
      <c r="E111" s="2"/>
      <c r="F111" s="2"/>
      <c r="G111" s="2"/>
      <c r="H111" s="2"/>
      <c r="I111" s="2"/>
      <c r="J111" s="2"/>
      <c r="K111" s="2"/>
      <c r="L111" s="2"/>
      <c r="M111" s="2"/>
      <c r="N111" s="2"/>
      <c r="O111" s="2"/>
      <c r="P111" s="2"/>
      <c r="Q111" s="2"/>
      <c r="R111" s="382"/>
    </row>
    <row r="112" spans="2:25" ht="14.1" customHeight="1">
      <c r="B112" s="2"/>
      <c r="C112" s="2"/>
      <c r="D112" s="2"/>
      <c r="E112" s="2"/>
      <c r="F112" s="2"/>
      <c r="G112" s="2"/>
      <c r="H112" s="2"/>
      <c r="I112" s="2"/>
      <c r="J112" s="2"/>
      <c r="K112" s="2"/>
      <c r="L112" s="2"/>
      <c r="M112" s="2"/>
      <c r="N112" s="2"/>
      <c r="O112" s="2"/>
      <c r="P112" s="2"/>
      <c r="Q112" s="2"/>
      <c r="R112" s="382"/>
    </row>
    <row r="113" spans="2:18" ht="14.1" customHeight="1">
      <c r="B113" s="2"/>
      <c r="C113" s="2"/>
      <c r="D113" s="2"/>
      <c r="E113" s="2"/>
      <c r="F113" s="2"/>
      <c r="G113" s="2"/>
      <c r="H113" s="2"/>
      <c r="I113" s="2"/>
      <c r="J113" s="2"/>
      <c r="K113" s="2"/>
      <c r="L113" s="2"/>
      <c r="M113" s="2"/>
      <c r="N113" s="2"/>
      <c r="O113" s="2"/>
      <c r="P113" s="2"/>
      <c r="Q113" s="2"/>
      <c r="R113" s="382"/>
    </row>
    <row r="114" spans="2:18" ht="14.1" customHeight="1">
      <c r="B114" s="2"/>
      <c r="C114" s="2"/>
      <c r="D114" s="2"/>
      <c r="E114" s="2"/>
      <c r="F114" s="2"/>
      <c r="G114" s="2"/>
      <c r="H114" s="2"/>
      <c r="I114" s="2"/>
      <c r="J114" s="2"/>
      <c r="K114" s="2"/>
      <c r="L114" s="2"/>
      <c r="M114" s="2"/>
      <c r="N114" s="2"/>
      <c r="O114" s="2"/>
      <c r="P114" s="2"/>
      <c r="Q114" s="2"/>
      <c r="R114" s="382"/>
    </row>
    <row r="115" spans="2:18" ht="14.1" customHeight="1">
      <c r="B115" s="2"/>
      <c r="C115" s="2"/>
      <c r="D115" s="2"/>
      <c r="E115" s="2"/>
      <c r="F115" s="2"/>
      <c r="G115" s="2"/>
      <c r="H115" s="2"/>
      <c r="I115" s="2"/>
      <c r="J115" s="2"/>
      <c r="K115" s="2"/>
      <c r="L115" s="2"/>
      <c r="M115" s="2"/>
      <c r="N115" s="2"/>
      <c r="O115" s="2"/>
      <c r="P115" s="2"/>
      <c r="Q115" s="2"/>
      <c r="R115" s="382"/>
    </row>
    <row r="116" spans="2:18" ht="14.1" customHeight="1">
      <c r="B116" s="2"/>
      <c r="C116" s="2"/>
      <c r="D116" s="2"/>
      <c r="E116" s="2"/>
      <c r="F116" s="2"/>
      <c r="G116" s="2"/>
      <c r="H116" s="2"/>
      <c r="I116" s="2"/>
      <c r="J116" s="2"/>
      <c r="K116" s="2"/>
      <c r="L116" s="2"/>
      <c r="M116" s="2"/>
      <c r="N116" s="2"/>
      <c r="O116" s="2"/>
      <c r="P116" s="2"/>
      <c r="Q116" s="2"/>
      <c r="R116" s="382"/>
    </row>
    <row r="117" spans="2:18" ht="14.1" customHeight="1">
      <c r="B117" s="2"/>
      <c r="C117" s="2"/>
      <c r="D117" s="2"/>
      <c r="E117" s="2"/>
      <c r="F117" s="2"/>
      <c r="G117" s="2"/>
      <c r="H117" s="2"/>
      <c r="I117" s="2"/>
      <c r="J117" s="2"/>
      <c r="K117" s="2"/>
      <c r="L117" s="2"/>
      <c r="M117" s="2"/>
      <c r="N117" s="2"/>
      <c r="O117" s="2"/>
      <c r="P117" s="2"/>
      <c r="Q117" s="2"/>
      <c r="R117" s="382"/>
    </row>
    <row r="118" spans="2:18" ht="14.1" customHeight="1">
      <c r="B118" s="2"/>
      <c r="C118" s="2"/>
      <c r="D118" s="2"/>
      <c r="E118" s="2"/>
      <c r="F118" s="2"/>
      <c r="G118" s="2"/>
      <c r="H118" s="2"/>
      <c r="I118" s="2"/>
      <c r="J118" s="2"/>
      <c r="K118" s="2"/>
      <c r="L118" s="2"/>
      <c r="M118" s="2"/>
      <c r="N118" s="2"/>
      <c r="O118" s="2"/>
      <c r="P118" s="2"/>
      <c r="Q118" s="2"/>
      <c r="R118" s="382"/>
    </row>
    <row r="119" spans="2:18" ht="14.1" customHeight="1">
      <c r="B119" s="2"/>
      <c r="C119" s="2"/>
      <c r="D119" s="2"/>
      <c r="E119" s="2"/>
      <c r="F119" s="2"/>
      <c r="G119" s="2"/>
      <c r="H119" s="2"/>
      <c r="I119" s="2"/>
      <c r="J119" s="2"/>
      <c r="K119" s="2"/>
      <c r="L119" s="2"/>
      <c r="M119" s="2"/>
      <c r="N119" s="2"/>
      <c r="O119" s="2"/>
      <c r="P119" s="2"/>
      <c r="Q119" s="2"/>
      <c r="R119" s="382"/>
    </row>
    <row r="120" spans="2:18" ht="14.1" customHeight="1">
      <c r="B120" s="2"/>
      <c r="C120" s="2"/>
      <c r="D120" s="2"/>
      <c r="E120" s="2"/>
      <c r="F120" s="2"/>
      <c r="G120" s="2"/>
      <c r="H120" s="2"/>
      <c r="I120" s="2"/>
      <c r="J120" s="2"/>
      <c r="K120" s="2"/>
      <c r="L120" s="2"/>
      <c r="M120" s="2"/>
      <c r="N120" s="2"/>
      <c r="O120" s="2"/>
      <c r="P120" s="2"/>
      <c r="Q120" s="2"/>
      <c r="R120" s="382"/>
    </row>
    <row r="121" spans="2:18" ht="14.1" customHeight="1">
      <c r="B121" s="2"/>
      <c r="C121" s="2"/>
      <c r="D121" s="2"/>
      <c r="E121" s="2"/>
      <c r="F121" s="2"/>
      <c r="G121" s="2"/>
      <c r="H121" s="2"/>
      <c r="I121" s="2"/>
      <c r="J121" s="2"/>
      <c r="K121" s="2"/>
      <c r="L121" s="2"/>
      <c r="M121" s="2"/>
      <c r="N121" s="2"/>
      <c r="O121" s="2"/>
      <c r="P121" s="2"/>
      <c r="Q121" s="2"/>
      <c r="R121" s="382"/>
    </row>
    <row r="122" spans="2:18" ht="14.1" customHeight="1">
      <c r="B122" s="2"/>
      <c r="C122" s="2"/>
      <c r="D122" s="2"/>
      <c r="E122" s="2"/>
      <c r="F122" s="2"/>
      <c r="G122" s="2"/>
      <c r="H122" s="2"/>
      <c r="I122" s="2"/>
      <c r="J122" s="2"/>
      <c r="K122" s="2"/>
      <c r="L122" s="2"/>
      <c r="M122" s="2"/>
      <c r="N122" s="2"/>
      <c r="O122" s="2"/>
      <c r="P122" s="2"/>
      <c r="Q122" s="2"/>
      <c r="R122" s="382"/>
    </row>
    <row r="123" spans="2:18" ht="14.1" customHeight="1">
      <c r="B123" s="2"/>
      <c r="C123" s="2"/>
      <c r="D123" s="2"/>
      <c r="E123" s="2"/>
      <c r="F123" s="2"/>
      <c r="G123" s="2"/>
      <c r="H123" s="2"/>
      <c r="I123" s="2"/>
      <c r="J123" s="2"/>
      <c r="K123" s="2"/>
      <c r="L123" s="2"/>
      <c r="M123" s="2"/>
      <c r="N123" s="2"/>
      <c r="O123" s="2"/>
      <c r="P123" s="2"/>
      <c r="Q123" s="2"/>
      <c r="R123" s="382"/>
    </row>
    <row r="124" spans="2:18" ht="14.1" customHeight="1">
      <c r="B124" s="2"/>
      <c r="C124" s="2"/>
      <c r="D124" s="2"/>
      <c r="E124" s="2"/>
      <c r="F124" s="2"/>
      <c r="G124" s="2"/>
      <c r="H124" s="2"/>
      <c r="I124" s="2"/>
      <c r="J124" s="2"/>
      <c r="K124" s="2"/>
      <c r="L124" s="2"/>
      <c r="M124" s="2"/>
      <c r="N124" s="2"/>
      <c r="O124" s="2"/>
      <c r="P124" s="2"/>
      <c r="Q124" s="2"/>
      <c r="R124" s="382"/>
    </row>
    <row r="125" spans="2:18" ht="14.1" customHeight="1">
      <c r="B125" s="2"/>
      <c r="C125" s="2"/>
      <c r="D125" s="2"/>
      <c r="E125" s="2"/>
      <c r="F125" s="2"/>
      <c r="G125" s="2"/>
      <c r="H125" s="2"/>
      <c r="I125" s="2"/>
      <c r="J125" s="2"/>
      <c r="K125" s="2"/>
      <c r="L125" s="2"/>
      <c r="M125" s="2"/>
      <c r="N125" s="2"/>
      <c r="O125" s="2"/>
      <c r="P125" s="2"/>
      <c r="Q125" s="2"/>
      <c r="R125" s="382"/>
    </row>
    <row r="126" spans="2:18" ht="14.1" customHeight="1">
      <c r="B126" s="2"/>
      <c r="C126" s="2"/>
      <c r="D126" s="2"/>
      <c r="E126" s="2"/>
      <c r="F126" s="2"/>
      <c r="G126" s="2"/>
      <c r="H126" s="2"/>
      <c r="I126" s="2"/>
      <c r="J126" s="2"/>
      <c r="K126" s="2"/>
      <c r="L126" s="2"/>
      <c r="M126" s="2"/>
      <c r="N126" s="2"/>
      <c r="O126" s="2"/>
      <c r="P126" s="2"/>
      <c r="Q126" s="2"/>
      <c r="R126" s="382"/>
    </row>
    <row r="127" spans="2:18" ht="14.1" customHeight="1">
      <c r="B127" s="2"/>
      <c r="C127" s="2"/>
      <c r="D127" s="2"/>
      <c r="E127" s="2"/>
      <c r="F127" s="2"/>
      <c r="G127" s="2"/>
      <c r="H127" s="2"/>
      <c r="I127" s="2"/>
      <c r="J127" s="2"/>
      <c r="K127" s="2"/>
      <c r="L127" s="2"/>
      <c r="M127" s="2"/>
      <c r="N127" s="2"/>
      <c r="O127" s="2"/>
      <c r="P127" s="2"/>
      <c r="Q127" s="2"/>
      <c r="R127" s="382"/>
    </row>
    <row r="128" spans="2:18" ht="14.1" customHeight="1">
      <c r="B128" s="2"/>
      <c r="C128" s="2"/>
      <c r="D128" s="2"/>
      <c r="E128" s="2"/>
      <c r="F128" s="2"/>
      <c r="G128" s="2"/>
      <c r="H128" s="2"/>
      <c r="I128" s="2"/>
      <c r="J128" s="2"/>
      <c r="K128" s="2"/>
      <c r="L128" s="2"/>
      <c r="M128" s="2"/>
      <c r="N128" s="2"/>
      <c r="O128" s="2"/>
      <c r="P128" s="2"/>
      <c r="Q128" s="2"/>
      <c r="R128" s="382"/>
    </row>
    <row r="129" spans="2:18" ht="14.1" customHeight="1">
      <c r="B129" s="2"/>
      <c r="C129" s="2"/>
      <c r="D129" s="2"/>
      <c r="E129" s="2"/>
      <c r="F129" s="2"/>
      <c r="G129" s="2"/>
      <c r="H129" s="2"/>
      <c r="I129" s="2"/>
      <c r="J129" s="2"/>
      <c r="K129" s="2"/>
      <c r="L129" s="2"/>
      <c r="M129" s="2"/>
      <c r="N129" s="2"/>
      <c r="O129" s="2"/>
      <c r="P129" s="2"/>
      <c r="Q129" s="2"/>
      <c r="R129" s="382"/>
    </row>
    <row r="130" spans="2:18" ht="14.1" customHeight="1">
      <c r="B130" s="2"/>
      <c r="C130" s="2"/>
      <c r="D130" s="2"/>
      <c r="E130" s="2"/>
      <c r="F130" s="2"/>
      <c r="G130" s="2"/>
      <c r="H130" s="2"/>
      <c r="I130" s="2"/>
      <c r="J130" s="2"/>
      <c r="K130" s="2"/>
      <c r="L130" s="2"/>
      <c r="M130" s="2"/>
      <c r="N130" s="2"/>
      <c r="O130" s="2"/>
      <c r="P130" s="2"/>
      <c r="Q130" s="2"/>
      <c r="R130" s="382"/>
    </row>
    <row r="131" spans="2:18" ht="14.1" customHeight="1">
      <c r="B131" s="2"/>
      <c r="C131" s="2"/>
      <c r="D131" s="2"/>
      <c r="E131" s="2"/>
      <c r="F131" s="2"/>
      <c r="G131" s="2"/>
      <c r="H131" s="2"/>
      <c r="I131" s="2"/>
      <c r="J131" s="2"/>
      <c r="K131" s="2"/>
      <c r="L131" s="2"/>
      <c r="M131" s="2"/>
      <c r="N131" s="2"/>
      <c r="O131" s="2"/>
      <c r="P131" s="2"/>
      <c r="Q131" s="2"/>
      <c r="R131" s="382"/>
    </row>
    <row r="132" spans="2:18" ht="14.1" customHeight="1">
      <c r="B132" s="2"/>
      <c r="C132" s="2"/>
      <c r="D132" s="2"/>
      <c r="E132" s="2"/>
      <c r="F132" s="2"/>
      <c r="G132" s="2"/>
      <c r="H132" s="2"/>
      <c r="I132" s="2"/>
      <c r="J132" s="2"/>
      <c r="K132" s="2"/>
      <c r="L132" s="2"/>
      <c r="M132" s="2"/>
      <c r="N132" s="2"/>
      <c r="O132" s="2"/>
      <c r="P132" s="2"/>
      <c r="Q132" s="2"/>
      <c r="R132" s="382"/>
    </row>
    <row r="133" spans="2:18" ht="14.1" customHeight="1">
      <c r="B133" s="2"/>
      <c r="C133" s="2"/>
      <c r="D133" s="2"/>
      <c r="E133" s="2"/>
      <c r="F133" s="2"/>
      <c r="G133" s="2"/>
      <c r="H133" s="2"/>
      <c r="I133" s="2"/>
      <c r="J133" s="2"/>
      <c r="K133" s="2"/>
      <c r="L133" s="2"/>
      <c r="M133" s="2"/>
      <c r="N133" s="2"/>
      <c r="O133" s="2"/>
      <c r="P133" s="2"/>
      <c r="Q133" s="2"/>
      <c r="R133" s="382"/>
    </row>
    <row r="134" spans="2:18" ht="14.1" customHeight="1">
      <c r="B134" s="2"/>
      <c r="C134" s="2"/>
      <c r="D134" s="2"/>
      <c r="E134" s="2"/>
      <c r="F134" s="2"/>
      <c r="G134" s="2"/>
      <c r="H134" s="2"/>
      <c r="I134" s="2"/>
      <c r="J134" s="2"/>
      <c r="K134" s="2"/>
      <c r="L134" s="2"/>
      <c r="M134" s="2"/>
      <c r="N134" s="2"/>
      <c r="O134" s="2"/>
      <c r="P134" s="2"/>
      <c r="Q134" s="2"/>
      <c r="R134" s="382"/>
    </row>
    <row r="135" spans="2:18" ht="14.1" customHeight="1">
      <c r="B135" s="2"/>
      <c r="C135" s="2"/>
      <c r="D135" s="2"/>
      <c r="E135" s="2"/>
      <c r="F135" s="2"/>
      <c r="G135" s="2"/>
      <c r="H135" s="2"/>
      <c r="I135" s="2"/>
      <c r="J135" s="2"/>
      <c r="K135" s="2"/>
      <c r="L135" s="2"/>
      <c r="M135" s="2"/>
      <c r="N135" s="2"/>
      <c r="O135" s="2"/>
      <c r="P135" s="2"/>
      <c r="Q135" s="2"/>
      <c r="R135" s="382"/>
    </row>
    <row r="136" spans="2:18" ht="14.1" customHeight="1">
      <c r="B136" s="2"/>
      <c r="C136" s="2"/>
      <c r="D136" s="2"/>
      <c r="E136" s="2"/>
      <c r="F136" s="2"/>
      <c r="G136" s="2"/>
      <c r="H136" s="2"/>
      <c r="I136" s="2"/>
      <c r="J136" s="2"/>
      <c r="K136" s="2"/>
      <c r="L136" s="2"/>
      <c r="M136" s="2"/>
      <c r="N136" s="2"/>
      <c r="O136" s="2"/>
      <c r="P136" s="2"/>
      <c r="Q136" s="2"/>
      <c r="R136" s="382"/>
    </row>
    <row r="137" spans="2:18" ht="14.1" customHeight="1">
      <c r="B137" s="2"/>
      <c r="C137" s="2"/>
      <c r="D137" s="2"/>
      <c r="E137" s="2"/>
      <c r="F137" s="2"/>
      <c r="G137" s="2"/>
      <c r="H137" s="2"/>
      <c r="I137" s="2"/>
      <c r="J137" s="2"/>
      <c r="K137" s="2"/>
      <c r="L137" s="2"/>
      <c r="M137" s="2"/>
      <c r="N137" s="2"/>
      <c r="O137" s="2"/>
      <c r="P137" s="2"/>
      <c r="Q137" s="2"/>
      <c r="R137" s="382"/>
    </row>
    <row r="138" spans="2:18" ht="14.1" customHeight="1">
      <c r="B138" s="2"/>
      <c r="C138" s="2"/>
      <c r="D138" s="2"/>
      <c r="E138" s="2"/>
      <c r="F138" s="2"/>
      <c r="G138" s="2"/>
      <c r="H138" s="2"/>
      <c r="I138" s="2"/>
      <c r="J138" s="2"/>
      <c r="K138" s="2"/>
      <c r="L138" s="2"/>
      <c r="M138" s="2"/>
      <c r="N138" s="2"/>
      <c r="O138" s="2"/>
      <c r="P138" s="2"/>
      <c r="Q138" s="2"/>
      <c r="R138" s="382"/>
    </row>
    <row r="139" spans="2:18" ht="14.1" customHeight="1">
      <c r="B139" s="2"/>
      <c r="C139" s="2"/>
      <c r="D139" s="2"/>
      <c r="E139" s="2"/>
      <c r="F139" s="2"/>
      <c r="G139" s="2"/>
      <c r="H139" s="2"/>
      <c r="I139" s="2"/>
      <c r="J139" s="2"/>
      <c r="K139" s="2"/>
      <c r="L139" s="2"/>
      <c r="M139" s="2"/>
      <c r="N139" s="2"/>
      <c r="O139" s="2"/>
      <c r="P139" s="2"/>
      <c r="Q139" s="2"/>
      <c r="R139" s="382"/>
    </row>
    <row r="140" spans="2:18" ht="14.1" customHeight="1">
      <c r="B140" s="2"/>
      <c r="C140" s="2"/>
      <c r="D140" s="2"/>
      <c r="E140" s="2"/>
      <c r="F140" s="2"/>
      <c r="G140" s="2"/>
      <c r="H140" s="2"/>
      <c r="I140" s="2"/>
      <c r="J140" s="2"/>
      <c r="K140" s="2"/>
      <c r="L140" s="2"/>
      <c r="M140" s="2"/>
      <c r="N140" s="2"/>
      <c r="O140" s="2"/>
      <c r="P140" s="2"/>
      <c r="Q140" s="2"/>
      <c r="R140" s="382"/>
    </row>
    <row r="141" spans="2:18" ht="14.1" customHeight="1">
      <c r="B141" s="2"/>
      <c r="C141" s="2"/>
      <c r="D141" s="2"/>
      <c r="E141" s="2"/>
      <c r="F141" s="2"/>
      <c r="G141" s="2"/>
      <c r="H141" s="2"/>
      <c r="I141" s="2"/>
      <c r="J141" s="2"/>
      <c r="K141" s="2"/>
      <c r="L141" s="2"/>
      <c r="M141" s="2"/>
      <c r="N141" s="2"/>
      <c r="O141" s="2"/>
      <c r="P141" s="2"/>
      <c r="Q141" s="2"/>
      <c r="R141" s="382"/>
    </row>
    <row r="142" spans="2:18" ht="14.1" customHeight="1">
      <c r="B142" s="2"/>
      <c r="C142" s="2"/>
      <c r="D142" s="2"/>
      <c r="E142" s="2"/>
      <c r="F142" s="2"/>
      <c r="G142" s="2"/>
      <c r="H142" s="2"/>
      <c r="I142" s="2"/>
      <c r="J142" s="2"/>
      <c r="K142" s="2"/>
      <c r="L142" s="2"/>
      <c r="M142" s="2"/>
      <c r="N142" s="2"/>
      <c r="O142" s="2"/>
      <c r="P142" s="2"/>
      <c r="Q142" s="2"/>
      <c r="R142" s="382"/>
    </row>
    <row r="143" spans="2:18" ht="14.1" customHeight="1">
      <c r="B143" s="2"/>
      <c r="C143" s="2"/>
      <c r="D143" s="2"/>
      <c r="E143" s="2"/>
      <c r="F143" s="2"/>
      <c r="G143" s="2"/>
      <c r="H143" s="2"/>
      <c r="I143" s="2"/>
      <c r="J143" s="2"/>
      <c r="K143" s="2"/>
      <c r="L143" s="2"/>
      <c r="M143" s="2"/>
      <c r="N143" s="2"/>
      <c r="O143" s="2"/>
      <c r="P143" s="2"/>
      <c r="Q143" s="2"/>
      <c r="R143" s="382"/>
    </row>
    <row r="144" spans="2:18" ht="14.1" customHeight="1">
      <c r="B144" s="2"/>
      <c r="C144" s="2"/>
      <c r="D144" s="2"/>
      <c r="E144" s="2"/>
      <c r="F144" s="2"/>
      <c r="G144" s="2"/>
      <c r="H144" s="2"/>
      <c r="I144" s="2"/>
      <c r="J144" s="2"/>
      <c r="K144" s="2"/>
      <c r="L144" s="2"/>
      <c r="M144" s="2"/>
      <c r="N144" s="2"/>
      <c r="O144" s="2"/>
      <c r="P144" s="2"/>
      <c r="Q144" s="2"/>
      <c r="R144" s="382"/>
    </row>
    <row r="145" spans="2:18" ht="14.1" customHeight="1">
      <c r="B145" s="2"/>
      <c r="C145" s="2"/>
      <c r="D145" s="2"/>
      <c r="E145" s="2"/>
      <c r="F145" s="2"/>
      <c r="G145" s="2"/>
      <c r="H145" s="2"/>
      <c r="I145" s="2"/>
      <c r="J145" s="2"/>
      <c r="K145" s="2"/>
      <c r="L145" s="2"/>
      <c r="M145" s="2"/>
      <c r="N145" s="2"/>
      <c r="O145" s="2"/>
      <c r="P145" s="2"/>
      <c r="Q145" s="2"/>
      <c r="R145" s="382"/>
    </row>
    <row r="146" spans="2:18" ht="14.1" customHeight="1">
      <c r="B146" s="2"/>
      <c r="C146" s="2"/>
      <c r="D146" s="2"/>
      <c r="E146" s="2"/>
      <c r="F146" s="2"/>
      <c r="G146" s="2"/>
      <c r="H146" s="2"/>
      <c r="I146" s="2"/>
      <c r="J146" s="2"/>
      <c r="K146" s="2"/>
      <c r="L146" s="2"/>
      <c r="M146" s="2"/>
      <c r="N146" s="2"/>
      <c r="O146" s="2"/>
      <c r="P146" s="2"/>
      <c r="Q146" s="2"/>
      <c r="R146" s="382"/>
    </row>
    <row r="147" spans="2:18" ht="14.1" customHeight="1">
      <c r="B147" s="2"/>
      <c r="C147" s="2"/>
      <c r="D147" s="2"/>
      <c r="E147" s="2"/>
      <c r="F147" s="2"/>
      <c r="G147" s="2"/>
      <c r="H147" s="2"/>
      <c r="I147" s="2"/>
      <c r="J147" s="2"/>
      <c r="K147" s="2"/>
      <c r="L147" s="2"/>
      <c r="M147" s="2"/>
      <c r="N147" s="2"/>
      <c r="O147" s="2"/>
      <c r="P147" s="2"/>
      <c r="Q147" s="2"/>
      <c r="R147" s="382"/>
    </row>
    <row r="148" spans="2:18" ht="14.1" customHeight="1">
      <c r="B148" s="2"/>
      <c r="C148" s="2"/>
      <c r="D148" s="2"/>
      <c r="E148" s="2"/>
      <c r="F148" s="2"/>
      <c r="G148" s="2"/>
      <c r="H148" s="2"/>
      <c r="I148" s="2"/>
      <c r="J148" s="2"/>
      <c r="K148" s="2"/>
      <c r="L148" s="2"/>
      <c r="M148" s="2"/>
      <c r="N148" s="2"/>
      <c r="O148" s="2"/>
      <c r="P148" s="2"/>
      <c r="Q148" s="2"/>
      <c r="R148" s="382"/>
    </row>
    <row r="149" spans="2:18" ht="14.1" customHeight="1">
      <c r="B149" s="2"/>
      <c r="C149" s="2"/>
      <c r="D149" s="2"/>
      <c r="E149" s="2"/>
      <c r="F149" s="2"/>
      <c r="G149" s="2"/>
      <c r="H149" s="2"/>
      <c r="I149" s="2"/>
      <c r="J149" s="2"/>
      <c r="K149" s="2"/>
      <c r="L149" s="2"/>
      <c r="M149" s="2"/>
      <c r="N149" s="2"/>
      <c r="O149" s="2"/>
      <c r="P149" s="2"/>
      <c r="Q149" s="2"/>
      <c r="R149" s="382"/>
    </row>
    <row r="150" spans="2:18" ht="14.1" customHeight="1">
      <c r="B150" s="2"/>
      <c r="C150" s="2"/>
      <c r="D150" s="2"/>
      <c r="E150" s="2"/>
      <c r="F150" s="2"/>
      <c r="G150" s="2"/>
      <c r="H150" s="2"/>
      <c r="I150" s="2"/>
      <c r="J150" s="2"/>
      <c r="K150" s="2"/>
      <c r="L150" s="2"/>
      <c r="M150" s="2"/>
      <c r="N150" s="2"/>
      <c r="O150" s="2"/>
      <c r="P150" s="2"/>
      <c r="Q150" s="2"/>
      <c r="R150" s="382"/>
    </row>
    <row r="151" spans="2:18" ht="14.1" customHeight="1">
      <c r="B151" s="2"/>
      <c r="C151" s="2"/>
      <c r="D151" s="2"/>
      <c r="E151" s="2"/>
      <c r="F151" s="2"/>
      <c r="G151" s="2"/>
      <c r="H151" s="2"/>
      <c r="I151" s="2"/>
      <c r="J151" s="2"/>
      <c r="K151" s="2"/>
      <c r="L151" s="2"/>
      <c r="M151" s="2"/>
      <c r="N151" s="2"/>
      <c r="O151" s="2"/>
      <c r="P151" s="2"/>
      <c r="Q151" s="2"/>
      <c r="R151" s="382"/>
    </row>
    <row r="152" spans="2:18" ht="14.1" customHeight="1">
      <c r="B152" s="2"/>
      <c r="C152" s="2"/>
      <c r="D152" s="2"/>
      <c r="E152" s="2"/>
      <c r="F152" s="2"/>
      <c r="G152" s="2"/>
      <c r="H152" s="2"/>
      <c r="I152" s="2"/>
      <c r="J152" s="2"/>
      <c r="K152" s="2"/>
      <c r="L152" s="2"/>
      <c r="M152" s="2"/>
      <c r="N152" s="2"/>
      <c r="O152" s="2"/>
      <c r="P152" s="2"/>
      <c r="Q152" s="2"/>
      <c r="R152" s="382"/>
    </row>
    <row r="153" spans="2:18" ht="14.1" customHeight="1">
      <c r="B153" s="2"/>
      <c r="C153" s="2"/>
      <c r="D153" s="2"/>
      <c r="E153" s="2"/>
      <c r="F153" s="2"/>
      <c r="G153" s="2"/>
      <c r="H153" s="2"/>
      <c r="I153" s="2"/>
      <c r="J153" s="2"/>
      <c r="K153" s="2"/>
      <c r="L153" s="2"/>
      <c r="M153" s="2"/>
      <c r="N153" s="2"/>
      <c r="O153" s="2"/>
      <c r="P153" s="2"/>
      <c r="Q153" s="2"/>
      <c r="R153" s="382"/>
    </row>
    <row r="154" spans="2:18" ht="14.1" customHeight="1">
      <c r="B154" s="2"/>
      <c r="C154" s="2"/>
      <c r="D154" s="2"/>
      <c r="E154" s="2"/>
      <c r="F154" s="2"/>
      <c r="G154" s="2"/>
      <c r="H154" s="2"/>
      <c r="I154" s="2"/>
      <c r="J154" s="2"/>
      <c r="K154" s="2"/>
      <c r="L154" s="2"/>
      <c r="M154" s="2"/>
      <c r="N154" s="2"/>
      <c r="O154" s="2"/>
      <c r="P154" s="2"/>
      <c r="Q154" s="2"/>
      <c r="R154" s="382"/>
    </row>
    <row r="155" spans="2:18" ht="14.1" customHeight="1">
      <c r="B155" s="2"/>
      <c r="C155" s="2"/>
      <c r="D155" s="2"/>
      <c r="E155" s="2"/>
      <c r="F155" s="2"/>
      <c r="G155" s="2"/>
      <c r="H155" s="2"/>
      <c r="I155" s="2"/>
      <c r="J155" s="2"/>
      <c r="K155" s="2"/>
      <c r="L155" s="2"/>
      <c r="M155" s="2"/>
      <c r="N155" s="2"/>
      <c r="O155" s="2"/>
      <c r="P155" s="2"/>
      <c r="Q155" s="2"/>
      <c r="R155" s="382"/>
    </row>
    <row r="156" spans="2:18" ht="14.1" customHeight="1">
      <c r="B156" s="2"/>
      <c r="C156" s="2"/>
      <c r="D156" s="2"/>
      <c r="E156" s="2"/>
      <c r="F156" s="2"/>
      <c r="G156" s="2"/>
      <c r="H156" s="2"/>
      <c r="I156" s="2"/>
      <c r="J156" s="2"/>
      <c r="K156" s="2"/>
      <c r="L156" s="2"/>
      <c r="M156" s="2"/>
      <c r="N156" s="2"/>
      <c r="O156" s="2"/>
      <c r="P156" s="2"/>
      <c r="Q156" s="2"/>
      <c r="R156" s="382"/>
    </row>
    <row r="157" spans="2:18" ht="14.1" customHeight="1">
      <c r="B157" s="2"/>
      <c r="C157" s="2"/>
      <c r="D157" s="2"/>
      <c r="E157" s="2"/>
      <c r="F157" s="2"/>
      <c r="G157" s="2"/>
      <c r="H157" s="2"/>
      <c r="I157" s="2"/>
      <c r="J157" s="2"/>
      <c r="K157" s="2"/>
      <c r="L157" s="2"/>
      <c r="M157" s="2"/>
      <c r="N157" s="2"/>
      <c r="O157" s="2"/>
      <c r="P157" s="2"/>
      <c r="Q157" s="2"/>
      <c r="R157" s="382"/>
    </row>
    <row r="158" spans="2:18" ht="14.1" customHeight="1">
      <c r="B158" s="2"/>
      <c r="C158" s="2"/>
      <c r="D158" s="2"/>
      <c r="E158" s="2"/>
      <c r="F158" s="2"/>
      <c r="G158" s="2"/>
      <c r="H158" s="2"/>
      <c r="I158" s="2"/>
      <c r="J158" s="2"/>
      <c r="K158" s="2"/>
      <c r="L158" s="2"/>
      <c r="M158" s="2"/>
      <c r="N158" s="2"/>
      <c r="O158" s="2"/>
      <c r="P158" s="2"/>
      <c r="Q158" s="2"/>
      <c r="R158" s="382"/>
    </row>
    <row r="159" spans="2:18" ht="14.1" customHeight="1">
      <c r="B159" s="2"/>
      <c r="C159" s="2"/>
      <c r="D159" s="2"/>
      <c r="E159" s="2"/>
      <c r="F159" s="2"/>
      <c r="G159" s="2"/>
      <c r="H159" s="2"/>
      <c r="I159" s="2"/>
      <c r="J159" s="2"/>
      <c r="K159" s="2"/>
      <c r="L159" s="2"/>
      <c r="M159" s="2"/>
      <c r="N159" s="2"/>
      <c r="O159" s="2"/>
      <c r="P159" s="2"/>
      <c r="Q159" s="2"/>
      <c r="R159" s="382"/>
    </row>
    <row r="160" spans="2:18" ht="14.1" customHeight="1">
      <c r="B160" s="2"/>
      <c r="C160" s="2"/>
      <c r="D160" s="2"/>
      <c r="E160" s="2"/>
      <c r="F160" s="2"/>
      <c r="G160" s="2"/>
      <c r="H160" s="2"/>
      <c r="I160" s="2"/>
      <c r="J160" s="2"/>
      <c r="K160" s="2"/>
      <c r="L160" s="2"/>
      <c r="M160" s="2"/>
      <c r="N160" s="2"/>
      <c r="O160" s="2"/>
      <c r="P160" s="2"/>
      <c r="Q160" s="2"/>
      <c r="R160" s="382"/>
    </row>
    <row r="161" spans="2:18" ht="14.1" customHeight="1">
      <c r="B161" s="2"/>
      <c r="C161" s="2"/>
      <c r="D161" s="2"/>
      <c r="E161" s="2"/>
      <c r="F161" s="2"/>
      <c r="G161" s="2"/>
      <c r="H161" s="2"/>
      <c r="I161" s="2"/>
      <c r="J161" s="2"/>
      <c r="K161" s="2"/>
      <c r="L161" s="2"/>
      <c r="M161" s="2"/>
      <c r="N161" s="2"/>
      <c r="O161" s="2"/>
      <c r="P161" s="2"/>
      <c r="Q161" s="2"/>
      <c r="R161" s="382"/>
    </row>
    <row r="162" spans="2:18" ht="14.1" customHeight="1">
      <c r="B162" s="2"/>
      <c r="C162" s="2"/>
      <c r="D162" s="2"/>
      <c r="E162" s="2"/>
      <c r="F162" s="2"/>
      <c r="G162" s="2"/>
      <c r="H162" s="2"/>
      <c r="I162" s="2"/>
      <c r="J162" s="2"/>
      <c r="K162" s="2"/>
      <c r="L162" s="2"/>
      <c r="M162" s="2"/>
      <c r="N162" s="2"/>
      <c r="O162" s="2"/>
      <c r="P162" s="2"/>
      <c r="Q162" s="2"/>
      <c r="R162" s="382"/>
    </row>
    <row r="163" spans="2:18" ht="14.1" customHeight="1">
      <c r="B163" s="2"/>
      <c r="C163" s="2"/>
      <c r="D163" s="2"/>
      <c r="E163" s="2"/>
      <c r="F163" s="2"/>
      <c r="G163" s="2"/>
      <c r="H163" s="2"/>
      <c r="I163" s="2"/>
      <c r="J163" s="2"/>
      <c r="K163" s="2"/>
      <c r="L163" s="2"/>
      <c r="M163" s="2"/>
      <c r="N163" s="2"/>
      <c r="O163" s="2"/>
      <c r="P163" s="2"/>
      <c r="Q163" s="2"/>
      <c r="R163" s="382"/>
    </row>
    <row r="164" spans="2:18" ht="14.1" customHeight="1">
      <c r="B164" s="2"/>
      <c r="C164" s="2"/>
      <c r="D164" s="2"/>
      <c r="E164" s="2"/>
      <c r="F164" s="2"/>
      <c r="G164" s="2"/>
      <c r="H164" s="2"/>
      <c r="I164" s="2"/>
      <c r="J164" s="2"/>
      <c r="K164" s="2"/>
      <c r="L164" s="2"/>
      <c r="M164" s="2"/>
      <c r="N164" s="2"/>
      <c r="O164" s="2"/>
      <c r="P164" s="2"/>
      <c r="Q164" s="2"/>
      <c r="R164" s="382"/>
    </row>
    <row r="165" spans="2:18" ht="14.1" customHeight="1">
      <c r="B165" s="2"/>
      <c r="C165" s="2"/>
      <c r="D165" s="2"/>
      <c r="E165" s="2"/>
      <c r="F165" s="2"/>
      <c r="G165" s="2"/>
      <c r="H165" s="2"/>
      <c r="I165" s="2"/>
      <c r="J165" s="2"/>
      <c r="K165" s="2"/>
      <c r="L165" s="2"/>
      <c r="M165" s="2"/>
      <c r="N165" s="2"/>
      <c r="O165" s="2"/>
      <c r="P165" s="2"/>
      <c r="Q165" s="2"/>
      <c r="R165" s="382"/>
    </row>
    <row r="166" spans="2:18" ht="14.1" customHeight="1">
      <c r="B166" s="2"/>
      <c r="C166" s="2"/>
      <c r="D166" s="2"/>
      <c r="E166" s="2"/>
      <c r="F166" s="2"/>
      <c r="G166" s="2"/>
      <c r="H166" s="2"/>
      <c r="I166" s="2"/>
      <c r="J166" s="2"/>
      <c r="K166" s="2"/>
      <c r="L166" s="2"/>
      <c r="M166" s="2"/>
      <c r="N166" s="2"/>
      <c r="O166" s="2"/>
      <c r="P166" s="2"/>
      <c r="Q166" s="2"/>
      <c r="R166" s="382"/>
    </row>
    <row r="167" spans="2:18" ht="14.1" customHeight="1">
      <c r="B167" s="2"/>
      <c r="C167" s="2"/>
      <c r="D167" s="2"/>
      <c r="E167" s="2"/>
      <c r="F167" s="2"/>
      <c r="G167" s="2"/>
      <c r="H167" s="2"/>
      <c r="I167" s="2"/>
      <c r="J167" s="2"/>
      <c r="K167" s="2"/>
      <c r="L167" s="2"/>
      <c r="M167" s="2"/>
      <c r="N167" s="2"/>
      <c r="O167" s="2"/>
      <c r="P167" s="2"/>
      <c r="Q167" s="2"/>
      <c r="R167" s="382"/>
    </row>
    <row r="168" spans="2:18" ht="14.1" customHeight="1">
      <c r="B168" s="2"/>
      <c r="C168" s="2"/>
      <c r="D168" s="2"/>
      <c r="E168" s="2"/>
      <c r="F168" s="2"/>
      <c r="G168" s="2"/>
      <c r="H168" s="2"/>
      <c r="I168" s="2"/>
      <c r="J168" s="2"/>
      <c r="K168" s="2"/>
      <c r="L168" s="2"/>
      <c r="M168" s="2"/>
      <c r="N168" s="2"/>
      <c r="O168" s="2"/>
      <c r="P168" s="2"/>
      <c r="Q168" s="2"/>
      <c r="R168" s="382"/>
    </row>
    <row r="169" spans="2:18" ht="14.1" customHeight="1">
      <c r="B169" s="2"/>
      <c r="C169" s="2"/>
      <c r="D169" s="2"/>
      <c r="E169" s="2"/>
      <c r="F169" s="2"/>
      <c r="G169" s="2"/>
      <c r="H169" s="2"/>
      <c r="I169" s="2"/>
      <c r="J169" s="2"/>
      <c r="K169" s="2"/>
      <c r="L169" s="2"/>
      <c r="M169" s="2"/>
      <c r="N169" s="2"/>
      <c r="O169" s="2"/>
      <c r="P169" s="2"/>
      <c r="Q169" s="2"/>
      <c r="R169" s="382"/>
    </row>
    <row r="170" spans="2:18" ht="14.1" customHeight="1">
      <c r="B170" s="2"/>
      <c r="C170" s="2"/>
      <c r="D170" s="2"/>
      <c r="E170" s="2"/>
      <c r="F170" s="2"/>
      <c r="G170" s="2"/>
      <c r="H170" s="2"/>
      <c r="I170" s="2"/>
      <c r="J170" s="2"/>
      <c r="K170" s="2"/>
      <c r="L170" s="2"/>
      <c r="M170" s="2"/>
      <c r="N170" s="2"/>
      <c r="O170" s="2"/>
      <c r="P170" s="2"/>
      <c r="Q170" s="2"/>
      <c r="R170" s="382"/>
    </row>
    <row r="171" spans="2:18" ht="14.1" customHeight="1">
      <c r="B171" s="2"/>
      <c r="C171" s="2"/>
      <c r="D171" s="2"/>
      <c r="E171" s="2"/>
      <c r="F171" s="2"/>
      <c r="G171" s="2"/>
      <c r="H171" s="2"/>
      <c r="I171" s="2"/>
      <c r="J171" s="2"/>
      <c r="K171" s="2"/>
      <c r="L171" s="2"/>
      <c r="M171" s="2"/>
      <c r="N171" s="2"/>
      <c r="O171" s="2"/>
      <c r="P171" s="2"/>
      <c r="Q171" s="2"/>
      <c r="R171" s="382"/>
    </row>
    <row r="172" spans="2:18" ht="14.1" customHeight="1">
      <c r="B172" s="2"/>
      <c r="C172" s="2"/>
      <c r="D172" s="2"/>
      <c r="E172" s="2"/>
      <c r="F172" s="2"/>
      <c r="G172" s="2"/>
      <c r="H172" s="2"/>
      <c r="I172" s="2"/>
      <c r="J172" s="2"/>
      <c r="K172" s="2"/>
      <c r="L172" s="2"/>
      <c r="M172" s="2"/>
      <c r="N172" s="2"/>
      <c r="O172" s="2"/>
      <c r="P172" s="2"/>
      <c r="Q172" s="2"/>
      <c r="R172" s="382"/>
    </row>
    <row r="173" spans="2:18" ht="14.1" customHeight="1">
      <c r="B173" s="2"/>
      <c r="C173" s="2"/>
      <c r="D173" s="2"/>
      <c r="E173" s="2"/>
      <c r="F173" s="2"/>
      <c r="G173" s="2"/>
      <c r="H173" s="2"/>
      <c r="I173" s="2"/>
      <c r="J173" s="2"/>
      <c r="K173" s="2"/>
      <c r="L173" s="2"/>
      <c r="M173" s="2"/>
      <c r="N173" s="2"/>
      <c r="O173" s="2"/>
      <c r="P173" s="2"/>
      <c r="Q173" s="2"/>
      <c r="R173" s="382"/>
    </row>
    <row r="174" spans="2:18" ht="14.1" customHeight="1">
      <c r="B174" s="2"/>
      <c r="C174" s="2"/>
      <c r="D174" s="2"/>
      <c r="E174" s="2"/>
      <c r="F174" s="2"/>
      <c r="G174" s="2"/>
      <c r="H174" s="2"/>
      <c r="I174" s="2"/>
      <c r="J174" s="2"/>
      <c r="K174" s="2"/>
      <c r="L174" s="2"/>
      <c r="M174" s="2"/>
      <c r="N174" s="2"/>
      <c r="O174" s="2"/>
      <c r="P174" s="2"/>
      <c r="Q174" s="2"/>
      <c r="R174" s="382"/>
    </row>
    <row r="175" spans="2:18" ht="14.1" customHeight="1">
      <c r="B175" s="2"/>
      <c r="C175" s="2"/>
      <c r="D175" s="2"/>
      <c r="E175" s="2"/>
      <c r="F175" s="2"/>
      <c r="G175" s="2"/>
      <c r="H175" s="2"/>
      <c r="I175" s="2"/>
      <c r="J175" s="2"/>
      <c r="K175" s="2"/>
      <c r="L175" s="2"/>
      <c r="M175" s="2"/>
      <c r="N175" s="2"/>
      <c r="O175" s="2"/>
      <c r="P175" s="2"/>
      <c r="Q175" s="2"/>
      <c r="R175" s="382"/>
    </row>
    <row r="176" spans="2:18" ht="14.1" customHeight="1">
      <c r="B176" s="2"/>
      <c r="C176" s="2"/>
      <c r="D176" s="2"/>
      <c r="E176" s="2"/>
      <c r="F176" s="2"/>
      <c r="G176" s="2"/>
      <c r="H176" s="2"/>
      <c r="I176" s="2"/>
      <c r="J176" s="2"/>
      <c r="K176" s="2"/>
      <c r="L176" s="2"/>
      <c r="M176" s="2"/>
      <c r="N176" s="2"/>
      <c r="O176" s="2"/>
      <c r="P176" s="2"/>
      <c r="Q176" s="2"/>
      <c r="R176" s="382"/>
    </row>
    <row r="177" spans="2:18" ht="14.1" customHeight="1">
      <c r="B177" s="2"/>
      <c r="C177" s="2"/>
      <c r="D177" s="2"/>
      <c r="E177" s="2"/>
      <c r="F177" s="2"/>
      <c r="G177" s="2"/>
      <c r="H177" s="2"/>
      <c r="I177" s="2"/>
      <c r="J177" s="2"/>
      <c r="K177" s="2"/>
      <c r="L177" s="2"/>
      <c r="M177" s="2"/>
      <c r="N177" s="2"/>
      <c r="O177" s="2"/>
      <c r="P177" s="2"/>
      <c r="Q177" s="2"/>
      <c r="R177" s="382"/>
    </row>
    <row r="178" spans="2:18" ht="14.1" customHeight="1">
      <c r="B178" s="2"/>
      <c r="C178" s="2"/>
      <c r="D178" s="2"/>
      <c r="E178" s="2"/>
      <c r="F178" s="2"/>
      <c r="G178" s="2"/>
      <c r="H178" s="2"/>
      <c r="I178" s="2"/>
      <c r="J178" s="2"/>
      <c r="K178" s="2"/>
      <c r="L178" s="2"/>
      <c r="M178" s="2"/>
      <c r="N178" s="2"/>
      <c r="O178" s="2"/>
      <c r="P178" s="2"/>
      <c r="Q178" s="2"/>
      <c r="R178" s="382"/>
    </row>
    <row r="179" spans="2:18" ht="14.1" customHeight="1">
      <c r="B179" s="2"/>
      <c r="C179" s="2"/>
      <c r="D179" s="2"/>
      <c r="E179" s="2"/>
      <c r="F179" s="2"/>
      <c r="G179" s="2"/>
      <c r="H179" s="2"/>
      <c r="I179" s="2"/>
      <c r="J179" s="2"/>
      <c r="K179" s="2"/>
      <c r="L179" s="2"/>
      <c r="M179" s="2"/>
      <c r="N179" s="2"/>
      <c r="O179" s="2"/>
      <c r="P179" s="2"/>
      <c r="Q179" s="2"/>
      <c r="R179" s="382"/>
    </row>
    <row r="180" spans="2:18" ht="14.1" customHeight="1">
      <c r="B180" s="2"/>
      <c r="C180" s="2"/>
      <c r="D180" s="2"/>
      <c r="E180" s="2"/>
      <c r="F180" s="2"/>
      <c r="G180" s="2"/>
      <c r="H180" s="2"/>
      <c r="I180" s="2"/>
      <c r="J180" s="2"/>
      <c r="K180" s="2"/>
      <c r="L180" s="2"/>
      <c r="M180" s="2"/>
      <c r="N180" s="2"/>
      <c r="O180" s="2"/>
      <c r="P180" s="2"/>
      <c r="Q180" s="2"/>
      <c r="R180" s="382"/>
    </row>
    <row r="181" spans="2:18" ht="14.1" customHeight="1">
      <c r="B181" s="2"/>
      <c r="C181" s="2"/>
      <c r="D181" s="2"/>
      <c r="E181" s="2"/>
      <c r="F181" s="2"/>
      <c r="G181" s="2"/>
      <c r="H181" s="2"/>
      <c r="I181" s="2"/>
      <c r="J181" s="2"/>
      <c r="K181" s="2"/>
      <c r="L181" s="2"/>
      <c r="M181" s="2"/>
      <c r="N181" s="2"/>
      <c r="O181" s="2"/>
      <c r="P181" s="2"/>
      <c r="Q181" s="2"/>
      <c r="R181" s="382"/>
    </row>
    <row r="182" spans="2:18" ht="14.1" customHeight="1">
      <c r="B182" s="2"/>
      <c r="C182" s="2"/>
      <c r="D182" s="2"/>
      <c r="E182" s="2"/>
      <c r="F182" s="2"/>
      <c r="G182" s="2"/>
      <c r="H182" s="2"/>
      <c r="I182" s="2"/>
      <c r="J182" s="2"/>
      <c r="K182" s="2"/>
      <c r="L182" s="2"/>
      <c r="M182" s="2"/>
      <c r="N182" s="2"/>
      <c r="O182" s="2"/>
      <c r="P182" s="2"/>
      <c r="Q182" s="2"/>
      <c r="R182" s="382"/>
    </row>
    <row r="183" spans="2:18" ht="14.1" customHeight="1">
      <c r="B183" s="2"/>
      <c r="C183" s="2"/>
      <c r="D183" s="2"/>
      <c r="E183" s="2"/>
      <c r="F183" s="2"/>
      <c r="G183" s="2"/>
      <c r="H183" s="2"/>
      <c r="I183" s="2"/>
      <c r="J183" s="2"/>
      <c r="K183" s="2"/>
      <c r="L183" s="2"/>
      <c r="M183" s="2"/>
      <c r="N183" s="2"/>
      <c r="O183" s="2"/>
      <c r="P183" s="2"/>
      <c r="Q183" s="2"/>
      <c r="R183" s="382"/>
    </row>
    <row r="184" spans="2:18" ht="14.1" customHeight="1">
      <c r="B184" s="2"/>
      <c r="C184" s="2"/>
      <c r="D184" s="2"/>
      <c r="E184" s="2"/>
      <c r="F184" s="2"/>
      <c r="G184" s="2"/>
      <c r="H184" s="2"/>
      <c r="I184" s="2"/>
      <c r="J184" s="2"/>
      <c r="K184" s="2"/>
      <c r="L184" s="2"/>
      <c r="M184" s="2"/>
      <c r="N184" s="2"/>
      <c r="O184" s="2"/>
      <c r="P184" s="2"/>
      <c r="Q184" s="2"/>
      <c r="R184" s="382"/>
    </row>
    <row r="185" spans="2:18" ht="14.1" customHeight="1">
      <c r="B185" s="2"/>
      <c r="C185" s="2"/>
      <c r="D185" s="2"/>
      <c r="E185" s="2"/>
      <c r="F185" s="2"/>
      <c r="G185" s="2"/>
      <c r="H185" s="2"/>
      <c r="I185" s="2"/>
      <c r="J185" s="2"/>
      <c r="K185" s="2"/>
      <c r="L185" s="2"/>
      <c r="M185" s="2"/>
      <c r="N185" s="2"/>
      <c r="O185" s="2"/>
      <c r="P185" s="2"/>
      <c r="Q185" s="2"/>
      <c r="R185" s="382"/>
    </row>
    <row r="186" spans="2:18" ht="14.1" customHeight="1">
      <c r="B186" s="2"/>
      <c r="C186" s="2"/>
      <c r="D186" s="2"/>
      <c r="E186" s="2"/>
      <c r="F186" s="2"/>
      <c r="G186" s="2"/>
      <c r="H186" s="2"/>
      <c r="I186" s="2"/>
      <c r="J186" s="2"/>
      <c r="K186" s="2"/>
      <c r="L186" s="2"/>
      <c r="M186" s="2"/>
      <c r="N186" s="2"/>
      <c r="O186" s="2"/>
      <c r="P186" s="2"/>
      <c r="Q186" s="2"/>
      <c r="R186" s="382"/>
    </row>
    <row r="187" spans="2:18" ht="14.1" customHeight="1">
      <c r="B187" s="2"/>
      <c r="C187" s="2"/>
      <c r="D187" s="2"/>
      <c r="E187" s="2"/>
      <c r="F187" s="2"/>
      <c r="G187" s="2"/>
      <c r="H187" s="2"/>
      <c r="I187" s="2"/>
      <c r="J187" s="2"/>
      <c r="K187" s="2"/>
      <c r="L187" s="2"/>
      <c r="M187" s="2"/>
      <c r="N187" s="2"/>
      <c r="O187" s="2"/>
      <c r="P187" s="2"/>
      <c r="Q187" s="2"/>
      <c r="R187" s="382"/>
    </row>
    <row r="188" spans="2:18" ht="14.1" customHeight="1">
      <c r="B188" s="2"/>
      <c r="C188" s="2"/>
      <c r="D188" s="2"/>
      <c r="E188" s="2"/>
      <c r="F188" s="2"/>
      <c r="G188" s="2"/>
      <c r="H188" s="2"/>
      <c r="I188" s="2"/>
      <c r="J188" s="2"/>
      <c r="K188" s="2"/>
      <c r="L188" s="2"/>
      <c r="M188" s="2"/>
      <c r="N188" s="2"/>
      <c r="O188" s="2"/>
      <c r="P188" s="2"/>
      <c r="Q188" s="2"/>
      <c r="R188" s="382"/>
    </row>
    <row r="189" spans="2:18" ht="14.1" customHeight="1">
      <c r="B189" s="2"/>
      <c r="C189" s="2"/>
      <c r="D189" s="2"/>
      <c r="E189" s="2"/>
      <c r="F189" s="2"/>
      <c r="G189" s="2"/>
      <c r="H189" s="2"/>
      <c r="I189" s="2"/>
      <c r="J189" s="2"/>
      <c r="K189" s="2"/>
      <c r="L189" s="2"/>
      <c r="M189" s="2"/>
      <c r="N189" s="2"/>
      <c r="O189" s="2"/>
      <c r="P189" s="2"/>
      <c r="Q189" s="2"/>
      <c r="R189" s="382"/>
    </row>
    <row r="190" spans="2:18" ht="14.1" customHeight="1">
      <c r="B190" s="2"/>
      <c r="C190" s="2"/>
      <c r="D190" s="2"/>
      <c r="E190" s="2"/>
      <c r="F190" s="2"/>
      <c r="G190" s="2"/>
      <c r="H190" s="2"/>
      <c r="I190" s="2"/>
      <c r="J190" s="2"/>
      <c r="K190" s="2"/>
      <c r="L190" s="2"/>
      <c r="M190" s="2"/>
      <c r="N190" s="2"/>
      <c r="O190" s="2"/>
      <c r="P190" s="2"/>
      <c r="Q190" s="2"/>
      <c r="R190" s="382"/>
    </row>
    <row r="191" spans="2:18" ht="14.1" customHeight="1">
      <c r="B191" s="2"/>
      <c r="C191" s="2"/>
      <c r="D191" s="2"/>
      <c r="E191" s="2"/>
      <c r="F191" s="2"/>
      <c r="G191" s="2"/>
      <c r="H191" s="2"/>
      <c r="I191" s="2"/>
      <c r="J191" s="2"/>
      <c r="K191" s="2"/>
      <c r="L191" s="2"/>
      <c r="M191" s="2"/>
      <c r="N191" s="2"/>
      <c r="O191" s="2"/>
      <c r="P191" s="2"/>
      <c r="Q191" s="2"/>
      <c r="R191" s="382"/>
    </row>
    <row r="192" spans="2:18" ht="14.1" customHeight="1">
      <c r="B192" s="2"/>
      <c r="C192" s="2"/>
      <c r="D192" s="2"/>
      <c r="E192" s="2"/>
      <c r="F192" s="2"/>
      <c r="G192" s="2"/>
      <c r="H192" s="2"/>
      <c r="I192" s="2"/>
      <c r="J192" s="2"/>
      <c r="K192" s="2"/>
      <c r="L192" s="2"/>
      <c r="M192" s="2"/>
      <c r="N192" s="2"/>
      <c r="O192" s="2"/>
      <c r="P192" s="2"/>
      <c r="Q192" s="2"/>
      <c r="R192" s="382"/>
    </row>
    <row r="193" spans="2:18" ht="14.1" customHeight="1">
      <c r="B193" s="2"/>
      <c r="C193" s="2"/>
      <c r="D193" s="2"/>
      <c r="E193" s="2"/>
      <c r="F193" s="2"/>
      <c r="G193" s="2"/>
      <c r="H193" s="2"/>
      <c r="I193" s="2"/>
      <c r="J193" s="2"/>
      <c r="K193" s="2"/>
      <c r="L193" s="2"/>
      <c r="M193" s="2"/>
      <c r="N193" s="2"/>
      <c r="O193" s="2"/>
      <c r="P193" s="2"/>
      <c r="Q193" s="2"/>
      <c r="R193" s="382"/>
    </row>
    <row r="194" spans="2:18" ht="14.1" customHeight="1">
      <c r="B194" s="2"/>
      <c r="C194" s="2"/>
      <c r="D194" s="2"/>
      <c r="E194" s="2"/>
      <c r="F194" s="2"/>
      <c r="G194" s="2"/>
      <c r="H194" s="2"/>
      <c r="I194" s="2"/>
      <c r="J194" s="2"/>
      <c r="K194" s="2"/>
      <c r="L194" s="2"/>
      <c r="M194" s="2"/>
      <c r="N194" s="2"/>
      <c r="O194" s="2"/>
      <c r="P194" s="2"/>
      <c r="Q194" s="2"/>
      <c r="R194" s="382"/>
    </row>
    <row r="195" spans="2:18" ht="14.1" customHeight="1">
      <c r="B195" s="2"/>
      <c r="C195" s="2"/>
      <c r="D195" s="2"/>
      <c r="E195" s="2"/>
      <c r="F195" s="2"/>
      <c r="G195" s="2"/>
      <c r="H195" s="2"/>
      <c r="I195" s="2"/>
      <c r="J195" s="2"/>
      <c r="K195" s="2"/>
      <c r="L195" s="2"/>
      <c r="M195" s="2"/>
      <c r="N195" s="2"/>
      <c r="O195" s="2"/>
      <c r="P195" s="2"/>
      <c r="Q195" s="2"/>
      <c r="R195" s="382"/>
    </row>
    <row r="196" spans="2:18" ht="14.1" customHeight="1">
      <c r="B196" s="2"/>
      <c r="C196" s="2"/>
      <c r="D196" s="2"/>
      <c r="E196" s="2"/>
      <c r="F196" s="2"/>
      <c r="G196" s="2"/>
      <c r="H196" s="2"/>
      <c r="I196" s="2"/>
      <c r="J196" s="2"/>
      <c r="K196" s="2"/>
      <c r="L196" s="2"/>
      <c r="M196" s="2"/>
      <c r="N196" s="2"/>
      <c r="O196" s="2"/>
      <c r="P196" s="2"/>
      <c r="Q196" s="2"/>
      <c r="R196" s="382"/>
    </row>
    <row r="197" spans="2:18" ht="14.1" customHeight="1">
      <c r="B197" s="2"/>
      <c r="C197" s="2"/>
      <c r="D197" s="2"/>
      <c r="E197" s="2"/>
      <c r="F197" s="2"/>
      <c r="G197" s="2"/>
      <c r="H197" s="2"/>
      <c r="I197" s="2"/>
      <c r="J197" s="2"/>
      <c r="K197" s="2"/>
      <c r="L197" s="2"/>
      <c r="M197" s="2"/>
      <c r="N197" s="2"/>
      <c r="O197" s="2"/>
      <c r="P197" s="2"/>
      <c r="Q197" s="2"/>
      <c r="R197" s="382"/>
    </row>
    <row r="198" spans="2:18" ht="14.1" customHeight="1">
      <c r="B198" s="2"/>
      <c r="C198" s="2"/>
      <c r="D198" s="2"/>
      <c r="E198" s="2"/>
      <c r="F198" s="2"/>
      <c r="G198" s="2"/>
      <c r="H198" s="2"/>
      <c r="I198" s="2"/>
      <c r="J198" s="2"/>
      <c r="K198" s="2"/>
      <c r="L198" s="2"/>
      <c r="M198" s="2"/>
      <c r="N198" s="2"/>
      <c r="O198" s="2"/>
      <c r="P198" s="2"/>
      <c r="Q198" s="2"/>
      <c r="R198" s="382"/>
    </row>
    <row r="199" spans="2:18" ht="14.1" customHeight="1">
      <c r="B199" s="2"/>
      <c r="C199" s="2"/>
      <c r="D199" s="2"/>
      <c r="E199" s="2"/>
      <c r="F199" s="2"/>
      <c r="G199" s="2"/>
      <c r="H199" s="2"/>
      <c r="I199" s="2"/>
      <c r="J199" s="2"/>
      <c r="K199" s="2"/>
      <c r="L199" s="2"/>
      <c r="M199" s="2"/>
      <c r="N199" s="2"/>
      <c r="O199" s="2"/>
      <c r="P199" s="2"/>
      <c r="Q199" s="2"/>
      <c r="R199" s="382"/>
    </row>
    <row r="200" spans="2:18" ht="14.1" customHeight="1">
      <c r="B200" s="2"/>
      <c r="C200" s="2"/>
      <c r="D200" s="2"/>
      <c r="E200" s="2"/>
      <c r="F200" s="2"/>
      <c r="G200" s="2"/>
      <c r="H200" s="2"/>
      <c r="I200" s="2"/>
      <c r="J200" s="2"/>
      <c r="K200" s="2"/>
      <c r="L200" s="2"/>
      <c r="M200" s="2"/>
      <c r="N200" s="2"/>
      <c r="O200" s="2"/>
      <c r="P200" s="2"/>
      <c r="Q200" s="2"/>
      <c r="R200" s="382"/>
    </row>
    <row r="201" spans="2:18" ht="14.1" customHeight="1">
      <c r="B201" s="2"/>
      <c r="C201" s="2"/>
      <c r="D201" s="2"/>
      <c r="E201" s="2"/>
      <c r="F201" s="2"/>
      <c r="G201" s="2"/>
      <c r="H201" s="2"/>
      <c r="I201" s="2"/>
      <c r="J201" s="2"/>
      <c r="K201" s="2"/>
      <c r="L201" s="2"/>
      <c r="M201" s="2"/>
      <c r="N201" s="2"/>
      <c r="O201" s="2"/>
      <c r="P201" s="2"/>
      <c r="Q201" s="2"/>
      <c r="R201" s="382"/>
    </row>
    <row r="202" spans="2:18" ht="14.1" customHeight="1">
      <c r="B202" s="2"/>
      <c r="C202" s="2"/>
      <c r="D202" s="2"/>
      <c r="E202" s="2"/>
      <c r="F202" s="2"/>
      <c r="G202" s="2"/>
      <c r="H202" s="2"/>
      <c r="I202" s="2"/>
      <c r="J202" s="2"/>
      <c r="K202" s="2"/>
      <c r="L202" s="2"/>
      <c r="M202" s="2"/>
      <c r="N202" s="2"/>
      <c r="O202" s="2"/>
      <c r="P202" s="2"/>
      <c r="Q202" s="2"/>
      <c r="R202" s="382"/>
    </row>
    <row r="203" spans="2:18" ht="14.1" customHeight="1">
      <c r="B203" s="2"/>
      <c r="C203" s="2"/>
      <c r="D203" s="2"/>
      <c r="E203" s="2"/>
      <c r="F203" s="2"/>
      <c r="G203" s="2"/>
      <c r="H203" s="2"/>
      <c r="I203" s="2"/>
      <c r="J203" s="2"/>
      <c r="K203" s="2"/>
      <c r="L203" s="2"/>
      <c r="M203" s="2"/>
      <c r="N203" s="2"/>
      <c r="O203" s="2"/>
      <c r="P203" s="2"/>
      <c r="Q203" s="2"/>
      <c r="R203" s="382"/>
    </row>
    <row r="204" spans="2:18" ht="14.1" customHeight="1">
      <c r="B204" s="2"/>
      <c r="C204" s="2"/>
      <c r="D204" s="2"/>
      <c r="E204" s="2"/>
      <c r="F204" s="2"/>
      <c r="G204" s="2"/>
      <c r="H204" s="2"/>
      <c r="I204" s="2"/>
      <c r="J204" s="2"/>
      <c r="K204" s="2"/>
      <c r="L204" s="2"/>
      <c r="M204" s="2"/>
      <c r="N204" s="2"/>
      <c r="O204" s="2"/>
      <c r="P204" s="2"/>
      <c r="Q204" s="2"/>
      <c r="R204" s="382"/>
    </row>
    <row r="205" spans="2:18" ht="14.1" customHeight="1">
      <c r="B205" s="2"/>
      <c r="C205" s="2"/>
      <c r="D205" s="2"/>
      <c r="E205" s="2"/>
      <c r="F205" s="2"/>
      <c r="G205" s="2"/>
      <c r="H205" s="2"/>
      <c r="I205" s="2"/>
      <c r="J205" s="2"/>
      <c r="K205" s="2"/>
      <c r="L205" s="2"/>
      <c r="M205" s="2"/>
      <c r="N205" s="2"/>
      <c r="O205" s="2"/>
      <c r="P205" s="2"/>
      <c r="Q205" s="2"/>
      <c r="R205" s="382"/>
    </row>
    <row r="206" spans="2:18" ht="14.1" customHeight="1">
      <c r="B206" s="2"/>
      <c r="C206" s="2"/>
      <c r="D206" s="2"/>
      <c r="E206" s="2"/>
      <c r="F206" s="2"/>
      <c r="G206" s="2"/>
      <c r="H206" s="2"/>
      <c r="I206" s="2"/>
      <c r="J206" s="2"/>
      <c r="K206" s="2"/>
      <c r="L206" s="2"/>
      <c r="M206" s="2"/>
      <c r="N206" s="2"/>
      <c r="O206" s="2"/>
      <c r="P206" s="2"/>
      <c r="Q206" s="2"/>
      <c r="R206" s="382"/>
    </row>
    <row r="207" spans="2:18" ht="14.1" customHeight="1">
      <c r="B207" s="2"/>
      <c r="C207" s="2"/>
      <c r="D207" s="2"/>
      <c r="E207" s="2"/>
      <c r="F207" s="2"/>
      <c r="G207" s="2"/>
      <c r="H207" s="2"/>
      <c r="I207" s="2"/>
      <c r="J207" s="2"/>
      <c r="K207" s="2"/>
      <c r="L207" s="2"/>
      <c r="M207" s="2"/>
      <c r="N207" s="2"/>
      <c r="O207" s="2"/>
      <c r="P207" s="2"/>
      <c r="Q207" s="2"/>
      <c r="R207" s="382"/>
    </row>
    <row r="208" spans="2:18" ht="14.1" customHeight="1">
      <c r="B208" s="2"/>
      <c r="C208" s="2"/>
      <c r="D208" s="2"/>
      <c r="E208" s="2"/>
      <c r="F208" s="2"/>
      <c r="G208" s="2"/>
      <c r="H208" s="2"/>
      <c r="I208" s="2"/>
      <c r="J208" s="2"/>
      <c r="K208" s="2"/>
      <c r="L208" s="2"/>
      <c r="M208" s="2"/>
      <c r="N208" s="2"/>
      <c r="O208" s="2"/>
      <c r="P208" s="2"/>
      <c r="Q208" s="2"/>
      <c r="R208" s="382"/>
    </row>
    <row r="209" spans="2:18" ht="14.1" customHeight="1">
      <c r="B209" s="2"/>
      <c r="C209" s="2"/>
      <c r="D209" s="2"/>
      <c r="E209" s="2"/>
      <c r="F209" s="2"/>
      <c r="G209" s="2"/>
      <c r="H209" s="2"/>
      <c r="I209" s="2"/>
      <c r="J209" s="2"/>
      <c r="K209" s="2"/>
      <c r="L209" s="2"/>
      <c r="M209" s="2"/>
      <c r="N209" s="2"/>
      <c r="O209" s="2"/>
      <c r="P209" s="2"/>
      <c r="Q209" s="2"/>
      <c r="R209" s="382"/>
    </row>
    <row r="210" spans="2:18" ht="14.1" customHeight="1">
      <c r="B210" s="2"/>
      <c r="C210" s="2"/>
      <c r="D210" s="2"/>
      <c r="E210" s="2"/>
      <c r="F210" s="2"/>
      <c r="G210" s="2"/>
      <c r="H210" s="2"/>
      <c r="I210" s="2"/>
      <c r="J210" s="2"/>
      <c r="K210" s="2"/>
      <c r="L210" s="2"/>
      <c r="M210" s="2"/>
      <c r="N210" s="2"/>
      <c r="O210" s="2"/>
      <c r="P210" s="2"/>
      <c r="Q210" s="2"/>
      <c r="R210" s="382"/>
    </row>
    <row r="211" spans="2:18" ht="14.1" customHeight="1">
      <c r="B211" s="2"/>
      <c r="C211" s="2"/>
      <c r="D211" s="2"/>
      <c r="E211" s="2"/>
      <c r="F211" s="2"/>
      <c r="G211" s="2"/>
      <c r="H211" s="2"/>
      <c r="I211" s="2"/>
      <c r="J211" s="2"/>
      <c r="K211" s="2"/>
      <c r="L211" s="2"/>
      <c r="M211" s="2"/>
      <c r="N211" s="2"/>
      <c r="O211" s="2"/>
      <c r="P211" s="2"/>
      <c r="Q211" s="2"/>
      <c r="R211" s="382"/>
    </row>
    <row r="212" spans="2:18" ht="14.1" customHeight="1">
      <c r="B212" s="2"/>
      <c r="C212" s="2"/>
      <c r="D212" s="2"/>
      <c r="E212" s="2"/>
      <c r="F212" s="2"/>
      <c r="G212" s="2"/>
      <c r="H212" s="2"/>
      <c r="I212" s="2"/>
      <c r="J212" s="2"/>
      <c r="K212" s="2"/>
      <c r="L212" s="2"/>
      <c r="M212" s="2"/>
      <c r="N212" s="2"/>
      <c r="O212" s="2"/>
      <c r="P212" s="2"/>
      <c r="Q212" s="2"/>
      <c r="R212" s="382"/>
    </row>
    <row r="213" spans="2:18" ht="14.1" customHeight="1">
      <c r="B213" s="2"/>
      <c r="C213" s="2"/>
      <c r="D213" s="2"/>
      <c r="E213" s="2"/>
      <c r="F213" s="2"/>
      <c r="G213" s="2"/>
      <c r="H213" s="2"/>
      <c r="I213" s="2"/>
      <c r="J213" s="2"/>
      <c r="K213" s="2"/>
      <c r="L213" s="2"/>
      <c r="M213" s="2"/>
      <c r="N213" s="2"/>
      <c r="O213" s="2"/>
      <c r="P213" s="2"/>
      <c r="Q213" s="2"/>
      <c r="R213" s="382"/>
    </row>
    <row r="214" spans="2:18" ht="14.1" customHeight="1">
      <c r="B214" s="2"/>
      <c r="C214" s="2"/>
      <c r="D214" s="2"/>
      <c r="E214" s="2"/>
      <c r="F214" s="2"/>
      <c r="G214" s="2"/>
      <c r="H214" s="2"/>
      <c r="I214" s="2"/>
      <c r="J214" s="2"/>
      <c r="K214" s="2"/>
      <c r="L214" s="2"/>
      <c r="M214" s="2"/>
      <c r="N214" s="2"/>
      <c r="O214" s="2"/>
      <c r="P214" s="2"/>
      <c r="Q214" s="2"/>
      <c r="R214" s="382"/>
    </row>
    <row r="215" spans="2:18" ht="14.1" customHeight="1">
      <c r="B215" s="2"/>
      <c r="C215" s="2"/>
      <c r="D215" s="2"/>
      <c r="E215" s="2"/>
      <c r="F215" s="2"/>
      <c r="G215" s="2"/>
      <c r="H215" s="2"/>
      <c r="I215" s="2"/>
      <c r="J215" s="2"/>
      <c r="K215" s="2"/>
      <c r="L215" s="2"/>
      <c r="M215" s="2"/>
      <c r="N215" s="2"/>
      <c r="O215" s="2"/>
      <c r="P215" s="2"/>
      <c r="Q215" s="2"/>
      <c r="R215" s="382"/>
    </row>
    <row r="216" spans="2:18" ht="14.1" customHeight="1">
      <c r="B216" s="2"/>
      <c r="C216" s="2"/>
      <c r="D216" s="2"/>
      <c r="E216" s="2"/>
      <c r="F216" s="2"/>
      <c r="G216" s="2"/>
      <c r="H216" s="2"/>
      <c r="I216" s="2"/>
      <c r="J216" s="2"/>
      <c r="K216" s="2"/>
      <c r="L216" s="2"/>
      <c r="M216" s="2"/>
      <c r="N216" s="2"/>
      <c r="O216" s="2"/>
      <c r="P216" s="2"/>
      <c r="Q216" s="2"/>
      <c r="R216" s="382"/>
    </row>
    <row r="217" spans="2:18" ht="14.1" customHeight="1">
      <c r="B217" s="2"/>
      <c r="C217" s="2"/>
      <c r="D217" s="2"/>
      <c r="E217" s="2"/>
      <c r="F217" s="2"/>
      <c r="G217" s="2"/>
      <c r="H217" s="2"/>
      <c r="I217" s="2"/>
      <c r="J217" s="2"/>
      <c r="K217" s="2"/>
      <c r="L217" s="2"/>
      <c r="M217" s="2"/>
      <c r="N217" s="2"/>
      <c r="O217" s="2"/>
      <c r="P217" s="2"/>
      <c r="Q217" s="2"/>
      <c r="R217" s="382"/>
    </row>
    <row r="218" spans="2:18" ht="14.1" customHeight="1">
      <c r="B218" s="2"/>
      <c r="C218" s="2"/>
      <c r="D218" s="2"/>
      <c r="E218" s="2"/>
      <c r="F218" s="2"/>
      <c r="G218" s="2"/>
      <c r="H218" s="2"/>
      <c r="I218" s="2"/>
      <c r="J218" s="2"/>
      <c r="K218" s="2"/>
      <c r="L218" s="2"/>
      <c r="M218" s="2"/>
      <c r="N218" s="2"/>
      <c r="O218" s="2"/>
      <c r="P218" s="2"/>
      <c r="Q218" s="2"/>
      <c r="R218" s="382"/>
    </row>
    <row r="219" spans="2:18" ht="14.1" customHeight="1">
      <c r="B219" s="2"/>
      <c r="C219" s="2"/>
      <c r="D219" s="2"/>
      <c r="E219" s="2"/>
      <c r="F219" s="2"/>
      <c r="G219" s="2"/>
      <c r="H219" s="2"/>
      <c r="I219" s="2"/>
      <c r="J219" s="2"/>
      <c r="K219" s="2"/>
      <c r="L219" s="2"/>
      <c r="M219" s="2"/>
      <c r="N219" s="2"/>
      <c r="O219" s="2"/>
      <c r="P219" s="2"/>
      <c r="Q219" s="2"/>
      <c r="R219" s="382"/>
    </row>
    <row r="220" spans="2:18" ht="14.1" customHeight="1">
      <c r="B220" s="2"/>
      <c r="C220" s="2"/>
      <c r="D220" s="2"/>
      <c r="E220" s="2"/>
      <c r="F220" s="2"/>
      <c r="G220" s="2"/>
      <c r="H220" s="2"/>
      <c r="I220" s="2"/>
      <c r="J220" s="2"/>
      <c r="K220" s="2"/>
      <c r="L220" s="2"/>
      <c r="M220" s="2"/>
      <c r="N220" s="2"/>
      <c r="O220" s="2"/>
      <c r="P220" s="2"/>
      <c r="Q220" s="2"/>
      <c r="R220" s="382"/>
    </row>
    <row r="221" spans="2:18" ht="14.1" customHeight="1">
      <c r="B221" s="2"/>
      <c r="C221" s="2"/>
      <c r="D221" s="2"/>
      <c r="E221" s="2"/>
      <c r="F221" s="2"/>
      <c r="G221" s="2"/>
      <c r="H221" s="2"/>
      <c r="I221" s="2"/>
      <c r="J221" s="2"/>
      <c r="K221" s="2"/>
      <c r="L221" s="2"/>
      <c r="M221" s="2"/>
      <c r="N221" s="2"/>
      <c r="O221" s="2"/>
      <c r="P221" s="2"/>
      <c r="Q221" s="2"/>
      <c r="R221" s="382"/>
    </row>
    <row r="222" spans="2:18" ht="14.1" customHeight="1">
      <c r="B222" s="3"/>
      <c r="C222" s="3"/>
      <c r="D222" s="3"/>
      <c r="E222" s="3"/>
      <c r="F222" s="3"/>
      <c r="G222" s="3"/>
      <c r="H222" s="3"/>
      <c r="I222" s="3"/>
      <c r="J222" s="3"/>
      <c r="K222" s="3"/>
      <c r="L222" s="3"/>
      <c r="M222" s="3"/>
      <c r="N222" s="3"/>
      <c r="O222" s="3"/>
      <c r="P222" s="3"/>
      <c r="Q222" s="3"/>
      <c r="R222" s="205"/>
    </row>
  </sheetData>
  <sheetProtection sheet="1" objects="1" scenarios="1" selectLockedCells="1"/>
  <mergeCells count="34">
    <mergeCell ref="C83:Q83"/>
    <mergeCell ref="C74:J74"/>
    <mergeCell ref="C73:J73"/>
    <mergeCell ref="C70:J70"/>
    <mergeCell ref="C72:J72"/>
    <mergeCell ref="C71:J71"/>
    <mergeCell ref="C79:Q79"/>
    <mergeCell ref="G19:H19"/>
    <mergeCell ref="D24:Q24"/>
    <mergeCell ref="I44:Q46"/>
    <mergeCell ref="V12:V17"/>
    <mergeCell ref="C69:J69"/>
    <mergeCell ref="K22:P22"/>
    <mergeCell ref="M68:N68"/>
    <mergeCell ref="O50:P50"/>
    <mergeCell ref="M59:N59"/>
    <mergeCell ref="I50:J50"/>
    <mergeCell ref="C65:Q65"/>
    <mergeCell ref="C7:Q7"/>
    <mergeCell ref="M50:N50"/>
    <mergeCell ref="K50:L50"/>
    <mergeCell ref="M10:N10"/>
    <mergeCell ref="C22:G22"/>
    <mergeCell ref="O10:P10"/>
    <mergeCell ref="D19:F19"/>
    <mergeCell ref="G10:H10"/>
    <mergeCell ref="G50:H50"/>
    <mergeCell ref="C20:D20"/>
    <mergeCell ref="K10:L10"/>
    <mergeCell ref="I10:J10"/>
    <mergeCell ref="E50:F50"/>
    <mergeCell ref="D26:Q26"/>
    <mergeCell ref="L20:P20"/>
    <mergeCell ref="D10:F10"/>
  </mergeCells>
  <phoneticPr fontId="0" type="noConversion"/>
  <pageMargins left="0.78740157480314965" right="0.78740157480314965" top="0.59055118110236227" bottom="0.59055118110236227" header="0.51181102362204722" footer="0.31496062992125984"/>
  <pageSetup paperSize="9" scale="50" orientation="portrait" r:id="rId1"/>
  <headerFooter alignWithMargins="0">
    <oddFooter>&amp;L©AGRIDEA&amp;R04.2022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1" r:id="rId4" name="Drop Down 17">
              <controlPr defaultSize="0" autoLine="0" autoPict="0">
                <anchor moveWithCells="1">
                  <from>
                    <xdr:col>9</xdr:col>
                    <xdr:colOff>28575</xdr:colOff>
                    <xdr:row>41</xdr:row>
                    <xdr:rowOff>76200</xdr:rowOff>
                  </from>
                  <to>
                    <xdr:col>12</xdr:col>
                    <xdr:colOff>66675</xdr:colOff>
                    <xdr:row>42</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S181"/>
  <sheetViews>
    <sheetView showGridLines="0" showRowColHeaders="0" showZeros="0" zoomScaleNormal="100" workbookViewId="0">
      <selection activeCell="I9" sqref="I9"/>
    </sheetView>
  </sheetViews>
  <sheetFormatPr baseColWidth="10" defaultColWidth="11.42578125" defaultRowHeight="14.1" customHeight="1"/>
  <cols>
    <col min="1" max="1" width="0.85546875" style="184" customWidth="1"/>
    <col min="2" max="2" width="2" style="184" customWidth="1"/>
    <col min="3" max="3" width="33.42578125" style="184" customWidth="1"/>
    <col min="4" max="4" width="7.85546875" style="184" customWidth="1"/>
    <col min="5" max="5" width="9.42578125" style="184" customWidth="1"/>
    <col min="6" max="6" width="8.42578125" style="184" customWidth="1"/>
    <col min="7" max="7" width="9" style="184" customWidth="1"/>
    <col min="8" max="8" width="7.5703125" style="184" customWidth="1"/>
    <col min="9" max="9" width="10.85546875" style="184" customWidth="1"/>
    <col min="10" max="10" width="2.5703125" style="184" customWidth="1"/>
    <col min="11" max="11" width="11.140625" style="184" customWidth="1"/>
    <col min="12" max="12" width="3.85546875" style="184" customWidth="1"/>
    <col min="13" max="13" width="14.140625" style="184" customWidth="1"/>
    <col min="14" max="14" width="3.42578125" style="184" customWidth="1"/>
    <col min="15" max="15" width="16.5703125" style="184" customWidth="1"/>
    <col min="16" max="16384" width="11.42578125" style="184"/>
  </cols>
  <sheetData>
    <row r="1" spans="2:18" ht="42" customHeight="1">
      <c r="B1" s="63"/>
      <c r="C1" s="182"/>
      <c r="D1" s="182"/>
      <c r="E1" s="183" t="str">
        <f>Texte!A73</f>
        <v>Calcul des paiements directs à partir de 2023</v>
      </c>
      <c r="G1" s="182"/>
      <c r="H1" s="182"/>
      <c r="I1" s="182"/>
      <c r="J1" s="182"/>
      <c r="K1" s="182"/>
      <c r="L1" s="182"/>
      <c r="M1" s="182"/>
      <c r="N1" s="182"/>
      <c r="O1" s="1" t="str">
        <f>Texte!A209</f>
        <v>Paiements directs 3</v>
      </c>
      <c r="P1" s="2"/>
      <c r="Q1" s="2"/>
      <c r="R1" s="3"/>
    </row>
    <row r="2" spans="2:18" s="21" customFormat="1" ht="11.1" customHeight="1" thickBot="1">
      <c r="B2" s="185"/>
      <c r="C2" s="185"/>
      <c r="D2" s="185"/>
      <c r="E2" s="185"/>
      <c r="F2" s="185"/>
      <c r="G2" s="185"/>
      <c r="H2" s="185"/>
      <c r="I2" s="185"/>
      <c r="J2" s="185"/>
      <c r="K2" s="185"/>
      <c r="L2" s="185"/>
      <c r="M2" s="185"/>
      <c r="N2" s="185"/>
      <c r="O2" s="4"/>
      <c r="P2" s="2"/>
      <c r="Q2" s="2"/>
      <c r="R2" s="3"/>
    </row>
    <row r="3" spans="2:18" s="181" customFormat="1" ht="21.95" customHeight="1">
      <c r="B3" s="176" t="str">
        <f>Texte!A178</f>
        <v>Exploitation:</v>
      </c>
      <c r="C3" s="177"/>
      <c r="D3" s="170">
        <f>'Paysage cultivé'!D3</f>
        <v>0</v>
      </c>
      <c r="E3" s="170"/>
      <c r="F3" s="170"/>
      <c r="G3" s="178"/>
      <c r="H3" s="179"/>
      <c r="I3" s="180"/>
      <c r="J3" s="173" t="str">
        <f>Texte!A294</f>
        <v>Variante:</v>
      </c>
      <c r="K3" s="171">
        <f>'Paysage cultivé'!K3</f>
        <v>0</v>
      </c>
      <c r="L3" s="172"/>
      <c r="M3" s="180"/>
      <c r="N3" s="173" t="str">
        <f>Texte!A53</f>
        <v>Année:</v>
      </c>
      <c r="O3" s="174">
        <f>'Paysage cultivé'!O3</f>
        <v>0</v>
      </c>
      <c r="P3" s="180"/>
      <c r="Q3" s="180"/>
      <c r="R3" s="177"/>
    </row>
    <row r="4" spans="2:18" ht="8.25" customHeight="1">
      <c r="B4" s="6"/>
      <c r="C4" s="2"/>
      <c r="D4" s="2"/>
      <c r="E4" s="2"/>
      <c r="F4" s="2"/>
      <c r="G4" s="2"/>
      <c r="H4" s="2"/>
      <c r="I4" s="2"/>
      <c r="J4" s="2"/>
      <c r="K4" s="2"/>
      <c r="L4" s="2"/>
      <c r="M4" s="2"/>
      <c r="N4" s="2"/>
      <c r="O4" s="122"/>
      <c r="P4" s="2"/>
      <c r="Q4" s="2"/>
      <c r="R4" s="3"/>
    </row>
    <row r="5" spans="2:18" ht="20.25">
      <c r="B5" s="129" t="str">
        <f>Texte!A98</f>
        <v>Contributions à la biodiversité (CBD, Art. 55 à 60 et Annexe 7 OPD)</v>
      </c>
      <c r="C5" s="17"/>
      <c r="D5" s="17"/>
      <c r="E5" s="17"/>
      <c r="F5" s="17"/>
      <c r="G5" s="17"/>
      <c r="H5" s="17"/>
      <c r="I5" s="17"/>
      <c r="J5" s="17"/>
      <c r="K5" s="17"/>
      <c r="L5" s="17"/>
      <c r="M5" s="17"/>
      <c r="N5" s="17"/>
      <c r="O5" s="17"/>
      <c r="P5" s="2"/>
      <c r="Q5" s="2"/>
      <c r="R5" s="3"/>
    </row>
    <row r="6" spans="2:18" ht="33.950000000000003" customHeight="1">
      <c r="B6" s="276"/>
      <c r="C6" s="666" t="str">
        <f>Texte!A397</f>
        <v>Attention! Les surfaces de qualité 2 comptent aussi pour les contributions de niveau de qualité 1. Saisir les surfaces aussi pour les niveaux de qualité inférieurs.</v>
      </c>
      <c r="D6" s="666"/>
      <c r="E6" s="666"/>
      <c r="F6" s="666"/>
      <c r="G6" s="666"/>
      <c r="H6" s="666"/>
      <c r="I6" s="666"/>
      <c r="J6" s="666"/>
      <c r="K6" s="666"/>
      <c r="L6" s="666"/>
      <c r="M6" s="666"/>
      <c r="N6" s="666"/>
      <c r="O6" s="667"/>
      <c r="P6" s="2"/>
      <c r="Q6" s="2"/>
      <c r="R6" s="3"/>
    </row>
    <row r="7" spans="2:18" s="186" customFormat="1" ht="12.95" customHeight="1">
      <c r="B7" s="20"/>
      <c r="C7" s="17"/>
      <c r="D7" s="17"/>
      <c r="E7" s="17"/>
      <c r="F7" s="17"/>
      <c r="G7" s="17"/>
      <c r="H7" s="11"/>
      <c r="I7" s="668" t="str">
        <f>Texte!A393</f>
        <v>Contr. niveau de qualité 1 (Fr./ha)</v>
      </c>
      <c r="J7" s="669"/>
      <c r="K7" s="313" t="str">
        <f>Texte!A343</f>
        <v>Surface (ha)</v>
      </c>
      <c r="L7" s="313"/>
      <c r="M7" s="313" t="str">
        <f>Texte!A346</f>
        <v>Sous-total (Fr.)</v>
      </c>
      <c r="N7" s="314"/>
      <c r="O7" s="260" t="str">
        <f>Texte!A282</f>
        <v>Total (Fr.)</v>
      </c>
      <c r="P7" s="15"/>
      <c r="Q7" s="15"/>
      <c r="R7" s="16"/>
    </row>
    <row r="8" spans="2:18" s="186" customFormat="1" ht="30" customHeight="1">
      <c r="B8" s="9" t="str">
        <f>Texte!A99</f>
        <v>Contributions du niveau de qualité 1</v>
      </c>
      <c r="C8" s="10"/>
      <c r="D8" s="10"/>
      <c r="E8" s="10"/>
      <c r="F8" s="10"/>
      <c r="G8" s="10"/>
      <c r="H8" s="11"/>
      <c r="I8" s="670"/>
      <c r="J8" s="670"/>
      <c r="K8" s="233"/>
      <c r="L8" s="233"/>
      <c r="M8" s="233"/>
      <c r="N8" s="233"/>
      <c r="O8" s="315"/>
      <c r="P8" s="15"/>
      <c r="Q8" s="15"/>
      <c r="R8" s="16"/>
    </row>
    <row r="9" spans="2:18" s="186" customFormat="1" ht="17.100000000000001" customHeight="1">
      <c r="B9" s="73"/>
      <c r="C9" s="17" t="str">
        <f>Texte!A349</f>
        <v>prairies extensives (611,622)</v>
      </c>
      <c r="D9" s="17"/>
      <c r="E9" s="17"/>
      <c r="F9" s="17"/>
      <c r="G9" s="17"/>
      <c r="H9" s="11"/>
      <c r="I9" s="45"/>
      <c r="J9" s="17" t="s">
        <v>140</v>
      </c>
      <c r="K9" s="46"/>
      <c r="L9" s="23" t="s">
        <v>141</v>
      </c>
      <c r="M9" s="39">
        <f t="shared" ref="M9:M21" si="0">I9*K9</f>
        <v>0</v>
      </c>
      <c r="N9" s="230" t="str">
        <f>Texte!A304</f>
        <v xml:space="preserve">Z P: 1080; ZC: 860; </v>
      </c>
      <c r="O9" s="147"/>
      <c r="P9" s="15"/>
      <c r="Q9" s="15"/>
      <c r="R9" s="16"/>
    </row>
    <row r="10" spans="2:18" s="186" customFormat="1" ht="17.100000000000001" customHeight="1">
      <c r="B10" s="73"/>
      <c r="C10" s="17" t="str">
        <f>Texte!A349</f>
        <v>prairies extensives (611,622)</v>
      </c>
      <c r="D10" s="17"/>
      <c r="E10" s="17"/>
      <c r="F10" s="17"/>
      <c r="G10" s="17"/>
      <c r="H10" s="11"/>
      <c r="I10" s="45"/>
      <c r="J10" s="17" t="s">
        <v>140</v>
      </c>
      <c r="K10" s="46"/>
      <c r="L10" s="23" t="s">
        <v>141</v>
      </c>
      <c r="M10" s="39">
        <f t="shared" si="0"/>
        <v>0</v>
      </c>
      <c r="N10" s="231" t="str">
        <f>Texte!A308</f>
        <v>ZM 1-2: 500; ZM 3-4: 450</v>
      </c>
      <c r="O10" s="112"/>
      <c r="P10" s="15"/>
      <c r="Q10" s="15"/>
      <c r="R10" s="16"/>
    </row>
    <row r="11" spans="2:18" s="186" customFormat="1" ht="17.100000000000001" customHeight="1">
      <c r="B11" s="73"/>
      <c r="C11" s="17" t="str">
        <f>Texte!A348</f>
        <v>surfaces à litière (851)</v>
      </c>
      <c r="D11" s="17"/>
      <c r="E11" s="17"/>
      <c r="F11" s="17"/>
      <c r="G11" s="17"/>
      <c r="H11" s="11"/>
      <c r="I11" s="45"/>
      <c r="J11" s="17" t="s">
        <v>140</v>
      </c>
      <c r="K11" s="46"/>
      <c r="L11" s="23" t="s">
        <v>141</v>
      </c>
      <c r="M11" s="39">
        <f>I11*K11</f>
        <v>0</v>
      </c>
      <c r="N11" s="230" t="str">
        <f>Texte!A350</f>
        <v xml:space="preserve">Z P: 1440; ZC: 1220; </v>
      </c>
      <c r="O11" s="147"/>
      <c r="P11" s="15"/>
      <c r="Q11" s="15"/>
      <c r="R11" s="16"/>
    </row>
    <row r="12" spans="2:18" s="186" customFormat="1" ht="17.100000000000001" customHeight="1">
      <c r="B12" s="73"/>
      <c r="C12" s="17" t="str">
        <f>Texte!A348</f>
        <v>surfaces à litière (851)</v>
      </c>
      <c r="D12" s="17"/>
      <c r="E12" s="17"/>
      <c r="F12" s="17"/>
      <c r="G12" s="17"/>
      <c r="H12" s="11"/>
      <c r="I12" s="45"/>
      <c r="J12" s="17" t="s">
        <v>140</v>
      </c>
      <c r="K12" s="46"/>
      <c r="L12" s="23" t="s">
        <v>141</v>
      </c>
      <c r="M12" s="39">
        <f>I12*K12</f>
        <v>0</v>
      </c>
      <c r="N12" s="231" t="str">
        <f>Texte!A351</f>
        <v>ZM1-2:860; ZM3-4:680</v>
      </c>
      <c r="O12" s="112"/>
      <c r="P12" s="15"/>
      <c r="Q12" s="15"/>
      <c r="R12" s="16"/>
    </row>
    <row r="13" spans="2:18" s="186" customFormat="1" ht="17.100000000000001" customHeight="1">
      <c r="B13" s="73"/>
      <c r="C13" s="17" t="str">
        <f>Texte!A235</f>
        <v>prairies peu intensives (612,623)</v>
      </c>
      <c r="D13" s="17"/>
      <c r="E13" s="17"/>
      <c r="F13" s="17"/>
      <c r="G13" s="17"/>
      <c r="H13" s="11"/>
      <c r="I13" s="200">
        <v>450</v>
      </c>
      <c r="J13" s="17" t="s">
        <v>140</v>
      </c>
      <c r="K13" s="46"/>
      <c r="L13" s="23" t="s">
        <v>141</v>
      </c>
      <c r="M13" s="39">
        <f t="shared" si="0"/>
        <v>0</v>
      </c>
      <c r="N13" s="23"/>
      <c r="O13" s="24"/>
      <c r="P13" s="15"/>
      <c r="Q13" s="15"/>
      <c r="R13" s="16"/>
    </row>
    <row r="14" spans="2:18" s="186" customFormat="1" ht="17.100000000000001" customHeight="1">
      <c r="B14" s="73"/>
      <c r="C14" s="17" t="str">
        <f>Texte!A220</f>
        <v>pâturages extensifs et pâturages boisés (617,618)</v>
      </c>
      <c r="D14" s="17"/>
      <c r="E14" s="17"/>
      <c r="F14" s="17"/>
      <c r="G14" s="17"/>
      <c r="H14" s="11"/>
      <c r="I14" s="200">
        <v>450</v>
      </c>
      <c r="J14" s="17" t="s">
        <v>140</v>
      </c>
      <c r="K14" s="46"/>
      <c r="L14" s="23" t="s">
        <v>141</v>
      </c>
      <c r="M14" s="39">
        <f t="shared" si="0"/>
        <v>0</v>
      </c>
      <c r="N14" s="23"/>
      <c r="O14" s="24"/>
      <c r="P14" s="15"/>
      <c r="Q14" s="15"/>
      <c r="R14" s="16"/>
    </row>
    <row r="15" spans="2:18" s="186" customFormat="1" ht="17.100000000000001" customHeight="1">
      <c r="B15" s="73"/>
      <c r="C15" s="17" t="str">
        <f>Texte!A181</f>
        <v>haies, bosquets et berges boisées (avec la bande herbeuse) (852)</v>
      </c>
      <c r="D15" s="17"/>
      <c r="E15" s="17"/>
      <c r="F15" s="17"/>
      <c r="G15" s="17"/>
      <c r="H15" s="11"/>
      <c r="I15" s="200">
        <v>2160</v>
      </c>
      <c r="J15" s="17" t="s">
        <v>140</v>
      </c>
      <c r="K15" s="46"/>
      <c r="L15" s="23" t="s">
        <v>141</v>
      </c>
      <c r="M15" s="39">
        <f t="shared" si="0"/>
        <v>0</v>
      </c>
      <c r="N15" s="256"/>
      <c r="O15" s="24"/>
      <c r="P15" s="15"/>
      <c r="Q15" s="15"/>
      <c r="R15" s="16"/>
    </row>
    <row r="16" spans="2:18" s="186" customFormat="1" ht="17.100000000000001" customHeight="1">
      <c r="B16" s="73"/>
      <c r="C16" s="17" t="str">
        <f>Texte!A183</f>
        <v>jachère florale (556)</v>
      </c>
      <c r="D16" s="17"/>
      <c r="E16" s="17"/>
      <c r="F16" s="17"/>
      <c r="G16" s="55" t="str">
        <f>Texte!A184</f>
        <v>ZP et ZC</v>
      </c>
      <c r="H16" s="11"/>
      <c r="I16" s="200">
        <v>3800</v>
      </c>
      <c r="J16" s="55" t="s">
        <v>140</v>
      </c>
      <c r="K16" s="46"/>
      <c r="L16" s="23" t="s">
        <v>141</v>
      </c>
      <c r="M16" s="39">
        <f t="shared" si="0"/>
        <v>0</v>
      </c>
      <c r="N16" s="256"/>
      <c r="O16" s="24"/>
      <c r="P16" s="15"/>
      <c r="Q16" s="15"/>
      <c r="R16" s="16"/>
    </row>
    <row r="17" spans="1:18" ht="17.100000000000001" customHeight="1">
      <c r="A17" s="186"/>
      <c r="B17" s="73"/>
      <c r="C17" s="17" t="str">
        <f>Texte!A185</f>
        <v>jachère tournante (557)</v>
      </c>
      <c r="D17" s="17"/>
      <c r="E17" s="17"/>
      <c r="F17" s="17"/>
      <c r="G17" s="55" t="str">
        <f>Texte!A184</f>
        <v>ZP et ZC</v>
      </c>
      <c r="H17" s="11"/>
      <c r="I17" s="200">
        <v>3300</v>
      </c>
      <c r="J17" s="55" t="s">
        <v>140</v>
      </c>
      <c r="K17" s="46"/>
      <c r="L17" s="23" t="s">
        <v>141</v>
      </c>
      <c r="M17" s="39">
        <f t="shared" si="0"/>
        <v>0</v>
      </c>
      <c r="N17" s="256"/>
      <c r="O17" s="24"/>
      <c r="P17" s="15"/>
      <c r="Q17" s="15"/>
      <c r="R17" s="3"/>
    </row>
    <row r="18" spans="1:18" ht="17.100000000000001" customHeight="1">
      <c r="B18" s="73"/>
      <c r="C18" s="17" t="str">
        <f>Texte!A354</f>
        <v>bandes culturales extensives</v>
      </c>
      <c r="D18" s="17"/>
      <c r="E18" s="17"/>
      <c r="F18" s="17"/>
      <c r="G18" s="55"/>
      <c r="H18" s="11"/>
      <c r="I18" s="200">
        <v>2300</v>
      </c>
      <c r="J18" s="55" t="s">
        <v>140</v>
      </c>
      <c r="K18" s="46"/>
      <c r="L18" s="23" t="s">
        <v>141</v>
      </c>
      <c r="M18" s="39">
        <f t="shared" si="0"/>
        <v>0</v>
      </c>
      <c r="N18" s="256"/>
      <c r="O18" s="24"/>
      <c r="P18" s="15"/>
      <c r="Q18" s="15"/>
      <c r="R18" s="3"/>
    </row>
    <row r="19" spans="1:18" ht="17.100000000000001" customHeight="1">
      <c r="B19" s="73"/>
      <c r="C19" s="17" t="str">
        <f>Texte!A206</f>
        <v>ourlet sur terres assolées (559)</v>
      </c>
      <c r="D19" s="17"/>
      <c r="E19" s="17"/>
      <c r="F19" s="17"/>
      <c r="G19" s="55" t="str">
        <f>Texte!A324</f>
        <v>ZP à ZM2</v>
      </c>
      <c r="H19" s="11"/>
      <c r="I19" s="200">
        <v>3300</v>
      </c>
      <c r="J19" s="55" t="s">
        <v>140</v>
      </c>
      <c r="K19" s="46"/>
      <c r="L19" s="23" t="s">
        <v>141</v>
      </c>
      <c r="M19" s="39">
        <f t="shared" si="0"/>
        <v>0</v>
      </c>
      <c r="N19" s="256"/>
      <c r="O19" s="24"/>
      <c r="P19" s="15"/>
      <c r="Q19" s="15"/>
      <c r="R19" s="3"/>
    </row>
    <row r="20" spans="1:18" ht="17.100000000000001" customHeight="1">
      <c r="B20" s="73"/>
      <c r="C20" s="17" t="str">
        <f>Texte!A321</f>
        <v>prairies riveraines d’un cours d’eau (634)</v>
      </c>
      <c r="D20" s="17"/>
      <c r="E20" s="17"/>
      <c r="F20" s="17"/>
      <c r="G20" s="55"/>
      <c r="H20" s="11"/>
      <c r="I20" s="200">
        <v>450</v>
      </c>
      <c r="J20" s="55" t="s">
        <v>140</v>
      </c>
      <c r="K20" s="46"/>
      <c r="L20" s="23" t="s">
        <v>141</v>
      </c>
      <c r="M20" s="39">
        <f t="shared" si="0"/>
        <v>0</v>
      </c>
      <c r="N20" s="256"/>
      <c r="O20" s="24"/>
      <c r="P20" s="15"/>
      <c r="Q20" s="15"/>
      <c r="R20" s="3"/>
    </row>
    <row r="21" spans="1:18" ht="17.100000000000001" customHeight="1">
      <c r="B21" s="73"/>
      <c r="C21" s="17" t="str">
        <f>Texte!A490</f>
        <v>céréales en lignes de semis espacées</v>
      </c>
      <c r="D21" s="17"/>
      <c r="E21" s="17"/>
      <c r="F21" s="17"/>
      <c r="G21" s="55" t="str">
        <f>Texte!A184</f>
        <v>ZP et ZC</v>
      </c>
      <c r="H21" s="11"/>
      <c r="I21" s="200">
        <v>300</v>
      </c>
      <c r="J21" s="55" t="s">
        <v>140</v>
      </c>
      <c r="K21" s="46"/>
      <c r="L21" s="58" t="s">
        <v>141</v>
      </c>
      <c r="M21" s="39">
        <f t="shared" si="0"/>
        <v>0</v>
      </c>
      <c r="N21" s="256"/>
      <c r="O21" s="24"/>
      <c r="P21" s="15"/>
      <c r="Q21" s="15"/>
      <c r="R21" s="3"/>
    </row>
    <row r="22" spans="1:18" s="297" customFormat="1" ht="27.75" customHeight="1">
      <c r="A22" s="247"/>
      <c r="B22" s="295"/>
      <c r="C22" s="645" t="str">
        <f>Texte!A55</f>
        <v>arbres fruitiers haute-tige (y-compris noyers et châtaigne) (921,922, 923)</v>
      </c>
      <c r="D22" s="645"/>
      <c r="E22" s="461"/>
      <c r="F22" s="143" t="str">
        <f>Texte!A54</f>
        <v>arbres</v>
      </c>
      <c r="G22" s="308"/>
      <c r="H22" s="233" t="s">
        <v>140</v>
      </c>
      <c r="I22" s="462">
        <v>13.5</v>
      </c>
      <c r="J22" s="143"/>
      <c r="K22" s="487">
        <f>IF(G22&lt;20,0,G22*0.01)</f>
        <v>0</v>
      </c>
      <c r="L22" s="233" t="s">
        <v>141</v>
      </c>
      <c r="M22" s="232">
        <f xml:space="preserve"> IF(G22&lt;20,0,G22*I22)</f>
        <v>0</v>
      </c>
      <c r="N22" s="518"/>
      <c r="O22" s="519"/>
      <c r="P22" s="15"/>
      <c r="Q22" s="15"/>
      <c r="R22" s="296"/>
    </row>
    <row r="23" spans="1:18" s="186" customFormat="1" ht="7.5" customHeight="1">
      <c r="B23" s="12"/>
      <c r="C23" s="33"/>
      <c r="D23" s="33"/>
      <c r="E23" s="54"/>
      <c r="F23" s="54"/>
      <c r="G23" s="54"/>
      <c r="H23" s="11"/>
      <c r="I23" s="40"/>
      <c r="J23" s="17"/>
      <c r="K23" s="47"/>
      <c r="L23" s="17"/>
      <c r="M23" s="49"/>
      <c r="N23" s="23"/>
      <c r="O23" s="187"/>
      <c r="P23" s="11"/>
      <c r="Q23" s="184"/>
      <c r="R23" s="16"/>
    </row>
    <row r="24" spans="1:18" s="186" customFormat="1" ht="13.5" customHeight="1">
      <c r="B24" s="12"/>
      <c r="C24" s="492" t="str">
        <f>Texte!A467</f>
        <v>Les contributions QI sont octroyées à partir de 20 arbres donnant droit à des contributions par exploitation.</v>
      </c>
      <c r="D24" s="54"/>
      <c r="E24" s="47"/>
      <c r="F24" s="54"/>
      <c r="G24" s="47"/>
      <c r="H24" s="11"/>
      <c r="I24" s="47"/>
      <c r="J24" s="11"/>
      <c r="K24" s="34"/>
      <c r="L24" s="17"/>
      <c r="M24" s="50" t="str">
        <f>Texte!A252</f>
        <v>Somme contributions</v>
      </c>
      <c r="N24" s="23"/>
      <c r="O24" s="187"/>
      <c r="P24" s="11"/>
      <c r="Q24" s="184"/>
      <c r="R24" s="16"/>
    </row>
    <row r="25" spans="1:18" s="186" customFormat="1" ht="17.100000000000001" customHeight="1">
      <c r="B25" s="135"/>
      <c r="C25" s="491"/>
      <c r="D25" s="51"/>
      <c r="E25" s="51"/>
      <c r="F25" s="51"/>
      <c r="G25" s="47"/>
      <c r="H25" s="51"/>
      <c r="I25" s="134"/>
      <c r="J25" s="113"/>
      <c r="K25" s="115"/>
      <c r="L25" s="17"/>
      <c r="M25" s="116" t="str">
        <f>Texte!A464</f>
        <v>Contribution QI</v>
      </c>
      <c r="N25" s="23" t="s">
        <v>141</v>
      </c>
      <c r="O25" s="52">
        <f>SUM(M9:M22)</f>
        <v>0</v>
      </c>
      <c r="P25" s="11"/>
      <c r="Q25" s="184"/>
      <c r="R25" s="16"/>
    </row>
    <row r="26" spans="1:18" s="186" customFormat="1" ht="24.75" customHeight="1">
      <c r="B26" s="135"/>
      <c r="C26" s="114"/>
      <c r="D26" s="51"/>
      <c r="E26" s="51"/>
      <c r="F26" s="51"/>
      <c r="G26" s="47"/>
      <c r="H26" s="51"/>
      <c r="I26" s="676" t="str">
        <f>Texte!A394</f>
        <v>Contr. niveau de qualité 2 (Fr./ha)</v>
      </c>
      <c r="J26" s="677"/>
      <c r="K26" s="115"/>
      <c r="L26" s="17"/>
      <c r="M26" s="116"/>
      <c r="N26" s="23"/>
      <c r="O26" s="117"/>
      <c r="P26" s="11"/>
      <c r="Q26" s="184"/>
      <c r="R26" s="16"/>
    </row>
    <row r="27" spans="1:18" s="186" customFormat="1" ht="17.100000000000001" customHeight="1">
      <c r="B27" s="9" t="str">
        <f>Texte!A101</f>
        <v>Contributions du niveau de qualité 2</v>
      </c>
      <c r="C27" s="10"/>
      <c r="D27" s="10"/>
      <c r="E27" s="10"/>
      <c r="F27" s="10"/>
      <c r="G27" s="10"/>
      <c r="H27" s="11"/>
      <c r="I27" s="677"/>
      <c r="J27" s="677"/>
      <c r="K27" s="23"/>
      <c r="L27" s="23"/>
      <c r="M27" s="23"/>
      <c r="N27" s="23"/>
      <c r="O27" s="24"/>
      <c r="P27" s="15"/>
      <c r="Q27" s="15"/>
      <c r="R27" s="16"/>
    </row>
    <row r="28" spans="1:18" s="186" customFormat="1" ht="17.100000000000001" customHeight="1">
      <c r="B28" s="73"/>
      <c r="C28" s="17" t="str">
        <f>Texte!A349</f>
        <v>prairies extensives (611,622)</v>
      </c>
      <c r="D28" s="17"/>
      <c r="E28" s="17"/>
      <c r="F28" s="17"/>
      <c r="G28" s="17"/>
      <c r="H28" s="11"/>
      <c r="I28" s="45"/>
      <c r="J28" s="17" t="s">
        <v>140</v>
      </c>
      <c r="K28" s="46"/>
      <c r="L28" s="23" t="s">
        <v>141</v>
      </c>
      <c r="M28" s="39">
        <f>I28*K28</f>
        <v>0</v>
      </c>
      <c r="N28" s="230" t="str">
        <f>Texte!A447</f>
        <v xml:space="preserve">Z P: 1920; ZC: 1840; </v>
      </c>
      <c r="O28" s="147"/>
      <c r="P28" s="15"/>
      <c r="Q28" s="15"/>
      <c r="R28" s="16"/>
    </row>
    <row r="29" spans="1:18" s="186" customFormat="1" ht="17.100000000000001" customHeight="1">
      <c r="B29" s="73"/>
      <c r="C29" s="17" t="str">
        <f>Texte!A349</f>
        <v>prairies extensives (611,622)</v>
      </c>
      <c r="D29" s="17"/>
      <c r="E29" s="17"/>
      <c r="F29" s="17"/>
      <c r="G29" s="17"/>
      <c r="H29" s="11"/>
      <c r="I29" s="45"/>
      <c r="J29" s="17" t="s">
        <v>140</v>
      </c>
      <c r="K29" s="46"/>
      <c r="L29" s="23" t="s">
        <v>141</v>
      </c>
      <c r="M29" s="39">
        <f>I29*K29</f>
        <v>0</v>
      </c>
      <c r="N29" s="231" t="str">
        <f>Texte!A448</f>
        <v>ZM1-2:1700; ZM3-4:1100</v>
      </c>
      <c r="O29" s="112"/>
      <c r="P29" s="15"/>
      <c r="Q29" s="15"/>
      <c r="R29" s="16"/>
    </row>
    <row r="30" spans="1:18" s="186" customFormat="1" ht="17.100000000000001" customHeight="1">
      <c r="B30" s="73"/>
      <c r="C30" s="17" t="str">
        <f>Texte!A348</f>
        <v>surfaces à litière (851)</v>
      </c>
      <c r="D30" s="17"/>
      <c r="E30" s="17"/>
      <c r="F30" s="17"/>
      <c r="G30" s="17"/>
      <c r="H30" s="11"/>
      <c r="I30" s="45"/>
      <c r="J30" s="17" t="s">
        <v>140</v>
      </c>
      <c r="K30" s="46"/>
      <c r="L30" s="23" t="s">
        <v>141</v>
      </c>
      <c r="M30" s="39">
        <f>I30*K30</f>
        <v>0</v>
      </c>
      <c r="N30" s="230" t="str">
        <f>Texte!A449</f>
        <v xml:space="preserve">Z P: 2060; ZC: 1980; </v>
      </c>
      <c r="O30" s="147"/>
      <c r="P30" s="15"/>
      <c r="Q30" s="15"/>
      <c r="R30" s="16"/>
    </row>
    <row r="31" spans="1:18" s="186" customFormat="1" ht="17.100000000000001" customHeight="1">
      <c r="B31" s="73"/>
      <c r="C31" s="17" t="str">
        <f>Texte!A348</f>
        <v>surfaces à litière (851)</v>
      </c>
      <c r="D31" s="17"/>
      <c r="E31" s="17"/>
      <c r="F31" s="17"/>
      <c r="G31" s="17"/>
      <c r="H31" s="11"/>
      <c r="I31" s="45"/>
      <c r="J31" s="17" t="s">
        <v>140</v>
      </c>
      <c r="K31" s="46"/>
      <c r="L31" s="23" t="s">
        <v>141</v>
      </c>
      <c r="M31" s="39">
        <f t="shared" ref="M31:M37" si="1">I31*K31</f>
        <v>0</v>
      </c>
      <c r="N31" s="231" t="str">
        <f>Texte!A450</f>
        <v>ZM1-2:1840; ZM3-4:1770</v>
      </c>
      <c r="O31" s="112"/>
      <c r="P31" s="15"/>
      <c r="Q31" s="15"/>
      <c r="R31" s="16"/>
    </row>
    <row r="32" spans="1:18" s="186" customFormat="1" ht="17.100000000000001" customHeight="1">
      <c r="B32" s="73"/>
      <c r="C32" s="17" t="str">
        <f>Texte!A235</f>
        <v>prairies peu intensives (612,623)</v>
      </c>
      <c r="D32" s="17"/>
      <c r="E32" s="17"/>
      <c r="F32" s="17"/>
      <c r="G32" s="17" t="str">
        <f>Texte!A324</f>
        <v>ZP à ZM2</v>
      </c>
      <c r="H32" s="11"/>
      <c r="I32" s="200">
        <v>1200</v>
      </c>
      <c r="J32" s="17" t="s">
        <v>140</v>
      </c>
      <c r="K32" s="46"/>
      <c r="L32" s="23" t="s">
        <v>141</v>
      </c>
      <c r="M32" s="39">
        <f t="shared" si="1"/>
        <v>0</v>
      </c>
      <c r="N32" s="23"/>
      <c r="O32" s="24"/>
      <c r="P32" s="15"/>
      <c r="Q32" s="15"/>
      <c r="R32" s="16"/>
    </row>
    <row r="33" spans="1:19" s="186" customFormat="1" ht="17.100000000000001" customHeight="1">
      <c r="B33" s="73"/>
      <c r="C33" s="17" t="str">
        <f>Texte!A235</f>
        <v>prairies peu intensives (612,623)</v>
      </c>
      <c r="D33" s="17"/>
      <c r="E33" s="17"/>
      <c r="F33" s="17"/>
      <c r="G33" s="17" t="str">
        <f>Texte!A313</f>
        <v>ZM 3 - 4</v>
      </c>
      <c r="H33" s="11"/>
      <c r="I33" s="200">
        <v>1000</v>
      </c>
      <c r="J33" s="17" t="s">
        <v>140</v>
      </c>
      <c r="K33" s="46"/>
      <c r="L33" s="23" t="s">
        <v>141</v>
      </c>
      <c r="M33" s="39">
        <f t="shared" si="1"/>
        <v>0</v>
      </c>
      <c r="N33" s="23"/>
      <c r="O33" s="24"/>
      <c r="P33" s="15"/>
      <c r="Q33" s="15"/>
      <c r="R33" s="16"/>
    </row>
    <row r="34" spans="1:19" s="186" customFormat="1" ht="17.100000000000001" customHeight="1">
      <c r="B34" s="73"/>
      <c r="C34" s="17" t="str">
        <f>Texte!A220</f>
        <v>pâturages extensifs et pâturages boisés (617,618)</v>
      </c>
      <c r="D34" s="17"/>
      <c r="E34" s="17"/>
      <c r="F34" s="17"/>
      <c r="G34" s="17"/>
      <c r="H34" s="11"/>
      <c r="I34" s="200">
        <v>700</v>
      </c>
      <c r="J34" s="17" t="s">
        <v>140</v>
      </c>
      <c r="K34" s="46"/>
      <c r="L34" s="23" t="s">
        <v>141</v>
      </c>
      <c r="M34" s="39">
        <f t="shared" si="1"/>
        <v>0</v>
      </c>
      <c r="N34" s="23"/>
      <c r="O34" s="24"/>
      <c r="P34" s="15"/>
      <c r="Q34" s="15"/>
      <c r="R34" s="16"/>
    </row>
    <row r="35" spans="1:19" s="186" customFormat="1" ht="17.100000000000001" customHeight="1">
      <c r="B35" s="73"/>
      <c r="C35" s="17" t="str">
        <f>Texte!A181</f>
        <v>haies, bosquets et berges boisées (avec la bande herbeuse) (852)</v>
      </c>
      <c r="D35" s="17"/>
      <c r="E35" s="17"/>
      <c r="F35" s="17"/>
      <c r="G35" s="17"/>
      <c r="H35" s="11"/>
      <c r="I35" s="200">
        <v>2840</v>
      </c>
      <c r="J35" s="17" t="s">
        <v>140</v>
      </c>
      <c r="K35" s="46"/>
      <c r="L35" s="23" t="s">
        <v>141</v>
      </c>
      <c r="M35" s="39">
        <f t="shared" si="1"/>
        <v>0</v>
      </c>
      <c r="N35" s="23"/>
      <c r="O35" s="24"/>
      <c r="P35" s="15"/>
      <c r="Q35" s="15"/>
      <c r="R35" s="16"/>
    </row>
    <row r="36" spans="1:19" s="186" customFormat="1" ht="17.100000000000001" customHeight="1">
      <c r="B36" s="73"/>
      <c r="C36" s="17" t="str">
        <f>Texte!A262</f>
        <v>surfaces viticoles présentant une biodiversité naturelle (717)</v>
      </c>
      <c r="D36" s="17"/>
      <c r="E36" s="17"/>
      <c r="F36" s="17"/>
      <c r="G36" s="17"/>
      <c r="H36" s="11"/>
      <c r="I36" s="200">
        <v>1100</v>
      </c>
      <c r="J36" s="17" t="s">
        <v>140</v>
      </c>
      <c r="K36" s="46"/>
      <c r="L36" s="23" t="s">
        <v>141</v>
      </c>
      <c r="M36" s="39">
        <f t="shared" si="1"/>
        <v>0</v>
      </c>
      <c r="N36" s="23"/>
      <c r="O36" s="24"/>
      <c r="P36" s="15"/>
      <c r="Q36" s="15"/>
      <c r="R36" s="3"/>
    </row>
    <row r="37" spans="1:19" s="186" customFormat="1" ht="16.5" customHeight="1">
      <c r="A37" s="184"/>
      <c r="B37" s="73"/>
      <c r="C37" s="17" t="str">
        <f>Texte!A182</f>
        <v>herbages et surfaces à litière riches en espèces de la région d'estivage</v>
      </c>
      <c r="D37" s="17"/>
      <c r="E37" s="17"/>
      <c r="F37" s="17"/>
      <c r="G37" s="17"/>
      <c r="H37" s="336" t="s">
        <v>1223</v>
      </c>
      <c r="I37" s="522">
        <v>150</v>
      </c>
      <c r="J37" s="143" t="s">
        <v>140</v>
      </c>
      <c r="K37" s="250"/>
      <c r="L37" s="233" t="s">
        <v>141</v>
      </c>
      <c r="M37" s="232">
        <f t="shared" si="1"/>
        <v>0</v>
      </c>
      <c r="N37" s="680" t="str">
        <f>Texte!A479</f>
        <v>**mais au max. 300 par PN</v>
      </c>
      <c r="O37" s="681"/>
      <c r="P37" s="15"/>
      <c r="Q37" s="15"/>
      <c r="R37" s="16"/>
    </row>
    <row r="38" spans="1:19" s="186" customFormat="1" ht="16.5" customHeight="1">
      <c r="B38" s="73"/>
      <c r="C38" s="17" t="str">
        <f>Texte!A56</f>
        <v>arbres fruitiers haute-tige (sans les noyers) (921,923)</v>
      </c>
      <c r="D38" s="17"/>
      <c r="E38" s="17"/>
      <c r="F38" s="17" t="str">
        <f>Texte!A54</f>
        <v>arbres</v>
      </c>
      <c r="G38" s="45"/>
      <c r="H38" s="23" t="s">
        <v>140</v>
      </c>
      <c r="I38" s="463">
        <v>31.5</v>
      </c>
      <c r="J38" s="17"/>
      <c r="K38" s="242">
        <f>G38*0.01</f>
        <v>0</v>
      </c>
      <c r="L38" s="23" t="s">
        <v>141</v>
      </c>
      <c r="M38" s="39">
        <f>G38*I38</f>
        <v>0</v>
      </c>
      <c r="N38" s="680"/>
      <c r="O38" s="681"/>
      <c r="P38" s="15"/>
      <c r="Q38" s="15"/>
      <c r="R38" s="3"/>
    </row>
    <row r="39" spans="1:19" ht="17.100000000000001" customHeight="1">
      <c r="A39" s="186"/>
      <c r="B39" s="73" t="s">
        <v>490</v>
      </c>
      <c r="C39" s="17" t="str">
        <f>Texte!A57</f>
        <v>noyers (922)</v>
      </c>
      <c r="D39" s="17"/>
      <c r="E39" s="17"/>
      <c r="F39" s="17" t="str">
        <f>Texte!A54</f>
        <v>arbres</v>
      </c>
      <c r="G39" s="45"/>
      <c r="H39" s="23" t="s">
        <v>140</v>
      </c>
      <c r="I39" s="464">
        <v>16.5</v>
      </c>
      <c r="J39" s="17"/>
      <c r="K39" s="242">
        <f>G39*0.01</f>
        <v>0</v>
      </c>
      <c r="L39" s="23" t="s">
        <v>141</v>
      </c>
      <c r="M39" s="39">
        <f>G39*I39</f>
        <v>0</v>
      </c>
      <c r="N39" s="671"/>
      <c r="O39" s="672"/>
      <c r="P39" s="15"/>
      <c r="Q39" s="15"/>
      <c r="R39" s="3"/>
      <c r="S39" s="186"/>
    </row>
    <row r="40" spans="1:19" ht="7.5" customHeight="1">
      <c r="B40" s="12"/>
      <c r="C40" s="33"/>
      <c r="D40" s="33"/>
      <c r="E40" s="54"/>
      <c r="F40" s="54"/>
      <c r="G40" s="54"/>
      <c r="H40" s="11"/>
      <c r="I40" s="40"/>
      <c r="J40" s="17"/>
      <c r="K40" s="47"/>
      <c r="L40" s="17"/>
      <c r="M40" s="49"/>
      <c r="N40" s="23"/>
      <c r="O40" s="187"/>
      <c r="P40" s="11"/>
      <c r="R40" s="3"/>
    </row>
    <row r="41" spans="1:19" ht="17.100000000000001" customHeight="1">
      <c r="B41" s="12"/>
      <c r="C41" s="305"/>
      <c r="D41" s="54"/>
      <c r="E41" s="47"/>
      <c r="F41" s="54"/>
      <c r="G41" s="47"/>
      <c r="H41" s="11"/>
      <c r="I41" s="47"/>
      <c r="J41" s="11"/>
      <c r="K41" s="34"/>
      <c r="L41" s="17"/>
      <c r="M41" s="50" t="str">
        <f>Texte!A252</f>
        <v>Somme contributions</v>
      </c>
      <c r="N41" s="23"/>
      <c r="O41" s="187"/>
      <c r="P41" s="11"/>
      <c r="R41" s="3"/>
    </row>
    <row r="42" spans="1:19" ht="17.100000000000001" customHeight="1">
      <c r="B42" s="164"/>
      <c r="C42" s="444" t="str">
        <f>Texte!A58</f>
        <v>* Pour les noyers qui sont en 2013 en période d'engagement (durée de 6 ans),</v>
      </c>
      <c r="D42" s="51"/>
      <c r="E42" s="51"/>
      <c r="F42" s="51"/>
      <c r="G42" s="47"/>
      <c r="H42" s="51"/>
      <c r="I42" s="134"/>
      <c r="J42" s="113"/>
      <c r="K42" s="115"/>
      <c r="L42" s="17"/>
      <c r="M42" s="116"/>
      <c r="N42" s="23" t="s">
        <v>141</v>
      </c>
      <c r="O42" s="52">
        <f>SUM(M28:M39)</f>
        <v>0</v>
      </c>
      <c r="P42" s="11"/>
      <c r="R42" s="3"/>
    </row>
    <row r="43" spans="1:19" ht="13.5" customHeight="1">
      <c r="B43" s="164"/>
      <c r="C43" s="444" t="str">
        <f>Texte!A59</f>
        <v>il sera versé Fr. 30.- jusqu'à la fin de cette durée d'engagement</v>
      </c>
      <c r="D43" s="51"/>
      <c r="E43" s="51"/>
      <c r="F43" s="51"/>
      <c r="G43" s="47"/>
      <c r="H43" s="51"/>
      <c r="I43" s="134"/>
      <c r="J43" s="113"/>
      <c r="K43" s="115"/>
      <c r="L43" s="17"/>
      <c r="M43" s="116"/>
      <c r="N43" s="23"/>
      <c r="O43" s="117"/>
      <c r="P43" s="11"/>
      <c r="R43" s="3"/>
    </row>
    <row r="44" spans="1:19" s="186" customFormat="1" ht="20.25" hidden="1" customHeight="1">
      <c r="A44" s="184"/>
      <c r="B44" s="465"/>
      <c r="C44" s="466"/>
      <c r="D44" s="467"/>
      <c r="E44" s="467"/>
      <c r="F44" s="467"/>
      <c r="G44" s="468"/>
      <c r="H44" s="467"/>
      <c r="I44" s="678" t="str">
        <f>Texte!A395</f>
        <v>Contr. niveau de qualité 3 (Fr./ha)</v>
      </c>
      <c r="J44" s="679"/>
      <c r="K44" s="469"/>
      <c r="L44" s="470"/>
      <c r="M44" s="471"/>
      <c r="N44" s="472"/>
      <c r="O44" s="473"/>
      <c r="P44" s="11"/>
      <c r="Q44" s="184"/>
      <c r="R44" s="3"/>
      <c r="S44" s="184"/>
    </row>
    <row r="45" spans="1:19" ht="17.100000000000001" hidden="1" customHeight="1">
      <c r="A45" s="186"/>
      <c r="B45" s="482" t="str">
        <f>Texte!A102</f>
        <v>Contributions du niveau de qualité 3**</v>
      </c>
      <c r="C45" s="474"/>
      <c r="D45" s="474"/>
      <c r="E45" s="474"/>
      <c r="F45" s="474"/>
      <c r="G45" s="474"/>
      <c r="H45" s="475"/>
      <c r="I45" s="679"/>
      <c r="J45" s="679"/>
      <c r="K45" s="472"/>
      <c r="L45" s="472"/>
      <c r="M45" s="472"/>
      <c r="N45" s="472"/>
      <c r="O45" s="476"/>
      <c r="P45" s="15"/>
      <c r="Q45" s="15"/>
      <c r="R45" s="16"/>
      <c r="S45" s="186"/>
    </row>
    <row r="46" spans="1:19" ht="17.100000000000001" hidden="1" customHeight="1">
      <c r="B46" s="477"/>
      <c r="C46" s="470" t="str">
        <f>Texte!A234</f>
        <v>prairies extensives et surfaces à litière (611,622,851)</v>
      </c>
      <c r="D46" s="470"/>
      <c r="E46" s="470"/>
      <c r="F46" s="470"/>
      <c r="G46" s="470"/>
      <c r="H46" s="475"/>
      <c r="I46" s="478">
        <v>200</v>
      </c>
      <c r="J46" s="470" t="s">
        <v>140</v>
      </c>
      <c r="K46" s="479"/>
      <c r="L46" s="472" t="s">
        <v>141</v>
      </c>
      <c r="M46" s="480">
        <f>I46*K46</f>
        <v>0</v>
      </c>
      <c r="N46" s="481"/>
      <c r="O46" s="476"/>
      <c r="P46" s="11"/>
      <c r="R46" s="16"/>
    </row>
    <row r="47" spans="1:19" ht="17.100000000000001" hidden="1" customHeight="1">
      <c r="B47" s="477"/>
      <c r="C47" s="470" t="str">
        <f>Texte!A235</f>
        <v>prairies peu intensives (612,623)</v>
      </c>
      <c r="D47" s="470"/>
      <c r="E47" s="470"/>
      <c r="F47" s="470"/>
      <c r="G47" s="470"/>
      <c r="H47" s="475"/>
      <c r="I47" s="478">
        <v>200</v>
      </c>
      <c r="J47" s="470" t="s">
        <v>140</v>
      </c>
      <c r="K47" s="479"/>
      <c r="L47" s="472" t="s">
        <v>141</v>
      </c>
      <c r="M47" s="480">
        <f>I47*K47</f>
        <v>0</v>
      </c>
      <c r="N47" s="472"/>
      <c r="O47" s="476"/>
      <c r="P47" s="11"/>
      <c r="R47" s="16"/>
    </row>
    <row r="48" spans="1:19" ht="17.100000000000001" hidden="1" customHeight="1">
      <c r="B48" s="477"/>
      <c r="C48" s="470" t="str">
        <f>Texte!A220</f>
        <v>pâturages extensifs et pâturages boisés (617,618)</v>
      </c>
      <c r="D48" s="470"/>
      <c r="E48" s="470"/>
      <c r="F48" s="470"/>
      <c r="G48" s="470"/>
      <c r="H48" s="475"/>
      <c r="I48" s="480">
        <v>200</v>
      </c>
      <c r="J48" s="470" t="s">
        <v>140</v>
      </c>
      <c r="K48" s="479"/>
      <c r="L48" s="472" t="s">
        <v>141</v>
      </c>
      <c r="M48" s="480">
        <f>I48*K48</f>
        <v>0</v>
      </c>
      <c r="N48" s="472"/>
      <c r="O48" s="476"/>
      <c r="P48" s="11"/>
      <c r="R48" s="16"/>
    </row>
    <row r="49" spans="1:19" ht="12.6" hidden="1" customHeight="1">
      <c r="B49" s="12"/>
      <c r="C49" s="33"/>
      <c r="D49" s="33"/>
      <c r="E49" s="54"/>
      <c r="F49" s="54"/>
      <c r="G49" s="54"/>
      <c r="H49" s="11"/>
      <c r="I49" s="40"/>
      <c r="J49" s="17"/>
      <c r="K49" s="47"/>
      <c r="L49" s="17"/>
      <c r="M49" s="49"/>
      <c r="N49" s="23"/>
      <c r="O49" s="187"/>
      <c r="P49" s="11"/>
      <c r="R49" s="16"/>
    </row>
    <row r="50" spans="1:19" ht="14.25" hidden="1" customHeight="1">
      <c r="B50" s="12"/>
      <c r="C50" s="486" t="str">
        <f>Texte!A103</f>
        <v>** Les contributions pour le niveau de qualité 3 n'entrent pas en vigueur en 2016 à cause de la simplification des tâches administratives.</v>
      </c>
      <c r="D50" s="54"/>
      <c r="E50" s="47"/>
      <c r="F50" s="54"/>
      <c r="G50" s="47"/>
      <c r="H50" s="11"/>
      <c r="I50" s="47"/>
      <c r="J50" s="11"/>
      <c r="K50" s="34"/>
      <c r="L50" s="470"/>
      <c r="M50" s="483" t="str">
        <f>Texte!A252</f>
        <v>Somme contributions</v>
      </c>
      <c r="N50" s="472"/>
      <c r="O50" s="484"/>
      <c r="P50" s="11"/>
      <c r="R50" s="16"/>
    </row>
    <row r="51" spans="1:19" ht="15" hidden="1" customHeight="1">
      <c r="B51" s="12"/>
      <c r="C51" s="47"/>
      <c r="D51" s="54"/>
      <c r="E51" s="47"/>
      <c r="F51" s="54"/>
      <c r="G51" s="47"/>
      <c r="H51" s="11"/>
      <c r="I51" s="47"/>
      <c r="J51" s="11"/>
      <c r="K51" s="34"/>
      <c r="L51" s="470"/>
      <c r="M51" s="483"/>
      <c r="N51" s="472" t="s">
        <v>141</v>
      </c>
      <c r="O51" s="485">
        <f>SUM(M46:M48)</f>
        <v>0</v>
      </c>
      <c r="P51" s="11"/>
      <c r="R51" s="16"/>
    </row>
    <row r="52" spans="1:19" ht="6" customHeight="1">
      <c r="B52" s="156"/>
      <c r="C52" s="157"/>
      <c r="D52" s="158"/>
      <c r="E52" s="158"/>
      <c r="F52" s="158"/>
      <c r="G52" s="159"/>
      <c r="H52" s="158"/>
      <c r="I52" s="201"/>
      <c r="J52" s="202"/>
      <c r="K52" s="160"/>
      <c r="L52" s="75"/>
      <c r="M52" s="161"/>
      <c r="N52" s="76"/>
      <c r="O52" s="52"/>
      <c r="P52" s="11"/>
      <c r="R52" s="16"/>
    </row>
    <row r="53" spans="1:19" s="186" customFormat="1" ht="4.5" customHeight="1">
      <c r="A53" s="184"/>
      <c r="B53" s="203"/>
      <c r="C53" s="65"/>
      <c r="D53" s="65"/>
      <c r="E53" s="65"/>
      <c r="F53" s="65"/>
      <c r="G53" s="65"/>
      <c r="H53" s="65"/>
      <c r="I53" s="673" t="str">
        <f>Texte!A396</f>
        <v>Contr. mise en réseau (Fr./ha)</v>
      </c>
      <c r="J53" s="674"/>
      <c r="K53" s="65"/>
      <c r="L53" s="65"/>
      <c r="M53" s="65"/>
      <c r="N53" s="65"/>
      <c r="O53" s="199"/>
      <c r="P53" s="15"/>
      <c r="Q53" s="15"/>
      <c r="R53" s="16"/>
      <c r="S53" s="184"/>
    </row>
    <row r="54" spans="1:19" s="186" customFormat="1" ht="23.25" customHeight="1">
      <c r="B54" s="9" t="str">
        <f>Texte!A119</f>
        <v>Contribution mise en réseau</v>
      </c>
      <c r="C54" s="10"/>
      <c r="D54" s="10"/>
      <c r="E54" s="10"/>
      <c r="F54" s="10"/>
      <c r="G54" s="10"/>
      <c r="H54" s="11"/>
      <c r="I54" s="675"/>
      <c r="J54" s="675"/>
      <c r="K54" s="23"/>
      <c r="L54" s="23"/>
      <c r="M54" s="23"/>
      <c r="N54" s="23"/>
      <c r="O54" s="24"/>
      <c r="P54" s="15"/>
      <c r="Q54" s="15"/>
      <c r="R54" s="16"/>
    </row>
    <row r="55" spans="1:19" s="186" customFormat="1" ht="17.100000000000001" customHeight="1">
      <c r="B55" s="73"/>
      <c r="C55" s="17" t="str">
        <f>Texte!A234</f>
        <v>prairies extensives et surfaces à litière (611,622,851)</v>
      </c>
      <c r="D55" s="17"/>
      <c r="E55" s="17"/>
      <c r="F55" s="17"/>
      <c r="G55" s="17"/>
      <c r="H55" s="11"/>
      <c r="I55" s="550">
        <v>1000</v>
      </c>
      <c r="J55" s="17" t="s">
        <v>140</v>
      </c>
      <c r="K55" s="46"/>
      <c r="L55" s="23" t="s">
        <v>141</v>
      </c>
      <c r="M55" s="39">
        <f t="shared" ref="M55:M65" si="2">I55*K55</f>
        <v>0</v>
      </c>
      <c r="N55" s="23"/>
      <c r="O55" s="24"/>
      <c r="P55" s="15"/>
      <c r="Q55" s="15"/>
      <c r="R55" s="16"/>
    </row>
    <row r="56" spans="1:19" s="186" customFormat="1" ht="17.100000000000001" customHeight="1">
      <c r="B56" s="73"/>
      <c r="C56" s="17" t="str">
        <f>Texte!A235</f>
        <v>prairies peu intensives (612,623)</v>
      </c>
      <c r="D56" s="17"/>
      <c r="E56" s="17"/>
      <c r="F56" s="17"/>
      <c r="G56" s="17"/>
      <c r="H56" s="11"/>
      <c r="I56" s="550">
        <v>1000</v>
      </c>
      <c r="J56" s="17" t="s">
        <v>140</v>
      </c>
      <c r="K56" s="46"/>
      <c r="L56" s="23" t="s">
        <v>141</v>
      </c>
      <c r="M56" s="39">
        <f>I56*K56</f>
        <v>0</v>
      </c>
      <c r="N56" s="23"/>
      <c r="O56" s="24"/>
      <c r="P56" s="15"/>
      <c r="Q56" s="15"/>
      <c r="R56" s="16"/>
    </row>
    <row r="57" spans="1:19" s="186" customFormat="1" ht="17.100000000000001" customHeight="1">
      <c r="B57" s="73"/>
      <c r="C57" s="17" t="str">
        <f>Texte!A220</f>
        <v>pâturages extensifs et pâturages boisés (617,618)</v>
      </c>
      <c r="D57" s="17"/>
      <c r="E57" s="17"/>
      <c r="F57" s="17"/>
      <c r="G57" s="17"/>
      <c r="H57" s="11"/>
      <c r="I57" s="550">
        <v>500</v>
      </c>
      <c r="J57" s="17" t="s">
        <v>140</v>
      </c>
      <c r="K57" s="46"/>
      <c r="L57" s="23" t="s">
        <v>141</v>
      </c>
      <c r="M57" s="39">
        <f>I57*K57</f>
        <v>0</v>
      </c>
      <c r="N57" s="23"/>
      <c r="O57" s="24"/>
      <c r="P57" s="15"/>
      <c r="Q57" s="15"/>
      <c r="R57" s="16"/>
    </row>
    <row r="58" spans="1:19" s="186" customFormat="1" ht="17.100000000000001" customHeight="1">
      <c r="B58" s="73"/>
      <c r="C58" s="17" t="str">
        <f>Texte!A181</f>
        <v>haies, bosquets et berges boisées (avec la bande herbeuse) (852)</v>
      </c>
      <c r="D58" s="239"/>
      <c r="E58" s="239"/>
      <c r="F58" s="239"/>
      <c r="G58" s="239"/>
      <c r="H58" s="239"/>
      <c r="I58" s="550">
        <v>1000</v>
      </c>
      <c r="J58" s="143" t="s">
        <v>140</v>
      </c>
      <c r="K58" s="250"/>
      <c r="L58" s="233" t="s">
        <v>141</v>
      </c>
      <c r="M58" s="232">
        <f>I58*K58</f>
        <v>0</v>
      </c>
      <c r="N58" s="23"/>
      <c r="O58" s="24"/>
      <c r="P58" s="15"/>
      <c r="Q58" s="15"/>
      <c r="R58" s="16"/>
    </row>
    <row r="59" spans="1:19" s="186" customFormat="1" ht="17.100000000000001" customHeight="1">
      <c r="B59" s="73"/>
      <c r="C59" s="17" t="str">
        <f>Texte!A183</f>
        <v>jachère florale (556)</v>
      </c>
      <c r="D59" s="17"/>
      <c r="E59" s="17"/>
      <c r="F59" s="17"/>
      <c r="G59" s="17"/>
      <c r="H59" s="11"/>
      <c r="I59" s="550">
        <v>1000</v>
      </c>
      <c r="J59" s="17" t="s">
        <v>140</v>
      </c>
      <c r="K59" s="46"/>
      <c r="L59" s="23" t="s">
        <v>141</v>
      </c>
      <c r="M59" s="39">
        <f t="shared" si="2"/>
        <v>0</v>
      </c>
      <c r="N59" s="23"/>
      <c r="O59" s="24"/>
      <c r="P59" s="15"/>
      <c r="Q59" s="15"/>
      <c r="R59" s="3"/>
    </row>
    <row r="60" spans="1:19" s="186" customFormat="1" ht="17.100000000000001" customHeight="1">
      <c r="B60" s="73"/>
      <c r="C60" s="17" t="str">
        <f>Texte!A185</f>
        <v>jachère tournante (557)</v>
      </c>
      <c r="D60" s="17"/>
      <c r="E60" s="17"/>
      <c r="F60" s="17"/>
      <c r="G60" s="17"/>
      <c r="H60" s="11"/>
      <c r="I60" s="550">
        <v>1000</v>
      </c>
      <c r="J60" s="17" t="s">
        <v>140</v>
      </c>
      <c r="K60" s="46"/>
      <c r="L60" s="23" t="s">
        <v>141</v>
      </c>
      <c r="M60" s="39">
        <f t="shared" si="2"/>
        <v>0</v>
      </c>
      <c r="N60" s="23"/>
      <c r="O60" s="24"/>
      <c r="P60" s="15"/>
      <c r="Q60" s="15"/>
      <c r="R60" s="3"/>
    </row>
    <row r="61" spans="1:19" s="186" customFormat="1" ht="17.100000000000001" customHeight="1">
      <c r="B61" s="73"/>
      <c r="C61" s="17" t="str">
        <f>Texte!A354</f>
        <v>bandes culturales extensives</v>
      </c>
      <c r="D61" s="17"/>
      <c r="E61" s="17"/>
      <c r="F61" s="17"/>
      <c r="G61" s="17"/>
      <c r="H61" s="11"/>
      <c r="I61" s="550">
        <v>1000</v>
      </c>
      <c r="J61" s="17" t="s">
        <v>140</v>
      </c>
      <c r="K61" s="46"/>
      <c r="L61" s="23" t="s">
        <v>141</v>
      </c>
      <c r="M61" s="39">
        <f>I61*K61</f>
        <v>0</v>
      </c>
      <c r="N61" s="23"/>
      <c r="O61" s="24"/>
      <c r="P61" s="15"/>
      <c r="Q61" s="15"/>
      <c r="R61" s="3"/>
    </row>
    <row r="62" spans="1:19" s="186" customFormat="1" ht="17.100000000000001" customHeight="1">
      <c r="B62" s="73"/>
      <c r="C62" s="17" t="str">
        <f>Texte!A206</f>
        <v>ourlet sur terres assolées (559)</v>
      </c>
      <c r="D62" s="17"/>
      <c r="E62" s="17"/>
      <c r="F62" s="17"/>
      <c r="G62" s="17"/>
      <c r="H62" s="11"/>
      <c r="I62" s="550">
        <v>1000</v>
      </c>
      <c r="J62" s="17" t="s">
        <v>140</v>
      </c>
      <c r="K62" s="46"/>
      <c r="L62" s="23" t="s">
        <v>141</v>
      </c>
      <c r="M62" s="39">
        <f t="shared" si="2"/>
        <v>0</v>
      </c>
      <c r="N62" s="23"/>
      <c r="O62" s="24"/>
      <c r="P62" s="15"/>
      <c r="Q62" s="15"/>
      <c r="R62" s="3"/>
    </row>
    <row r="63" spans="1:19" s="186" customFormat="1" ht="17.100000000000001" customHeight="1">
      <c r="B63" s="73"/>
      <c r="C63" s="17" t="str">
        <f>Texte!A262</f>
        <v>surfaces viticoles présentant une biodiversité naturelle (717)</v>
      </c>
      <c r="D63" s="254"/>
      <c r="E63" s="254"/>
      <c r="F63" s="254"/>
      <c r="G63" s="121"/>
      <c r="H63" s="121"/>
      <c r="I63" s="550">
        <v>1000</v>
      </c>
      <c r="J63" s="17" t="s">
        <v>140</v>
      </c>
      <c r="K63" s="46"/>
      <c r="L63" s="23" t="s">
        <v>141</v>
      </c>
      <c r="M63" s="39">
        <f t="shared" si="2"/>
        <v>0</v>
      </c>
      <c r="N63" s="23"/>
      <c r="O63" s="24"/>
      <c r="P63" s="15"/>
      <c r="Q63" s="15"/>
      <c r="R63" s="3"/>
    </row>
    <row r="64" spans="1:19" s="186" customFormat="1" ht="17.100000000000001" customHeight="1">
      <c r="B64" s="73"/>
      <c r="C64" s="17" t="str">
        <f>Texte!A357</f>
        <v>SPB spécifique à la région (594)</v>
      </c>
      <c r="D64" s="254"/>
      <c r="E64" s="254"/>
      <c r="F64" s="254"/>
      <c r="G64" s="121"/>
      <c r="H64" s="121"/>
      <c r="I64" s="550">
        <v>1000</v>
      </c>
      <c r="J64" s="17" t="s">
        <v>140</v>
      </c>
      <c r="K64" s="46"/>
      <c r="L64" s="23" t="s">
        <v>141</v>
      </c>
      <c r="M64" s="39">
        <f>I64*K64</f>
        <v>0</v>
      </c>
      <c r="N64" s="23"/>
      <c r="O64" s="24"/>
      <c r="P64" s="15"/>
      <c r="Q64" s="15"/>
      <c r="R64" s="16"/>
    </row>
    <row r="65" spans="1:19" s="186" customFormat="1" ht="17.100000000000001" customHeight="1">
      <c r="B65" s="73"/>
      <c r="C65" s="17" t="str">
        <f>Texte!A321</f>
        <v>prairies riveraines d’un cours d’eau (634)</v>
      </c>
      <c r="D65" s="54"/>
      <c r="E65" s="54"/>
      <c r="F65" s="54"/>
      <c r="G65" s="54"/>
      <c r="H65" s="54"/>
      <c r="I65" s="550">
        <v>1000</v>
      </c>
      <c r="J65" s="17" t="s">
        <v>140</v>
      </c>
      <c r="K65" s="46"/>
      <c r="L65" s="23" t="s">
        <v>141</v>
      </c>
      <c r="M65" s="39">
        <f t="shared" si="2"/>
        <v>0</v>
      </c>
      <c r="N65" s="23"/>
      <c r="O65" s="24"/>
      <c r="P65" s="15"/>
      <c r="Q65" s="15"/>
      <c r="R65" s="16"/>
    </row>
    <row r="66" spans="1:19" s="186" customFormat="1" ht="32.25" customHeight="1">
      <c r="B66" s="73"/>
      <c r="C66" s="650" t="str">
        <f>Texte!A60</f>
        <v>arbres fruitiers haute-tige (y-compris noyers), arbres isolés adaptés au site et allées d'arbres (921, 922, 923, 924)</v>
      </c>
      <c r="D66" s="650"/>
      <c r="E66" s="650"/>
      <c r="F66" s="650"/>
      <c r="G66" s="650"/>
      <c r="H66" s="307" t="str">
        <f>Texte!A54</f>
        <v>arbres</v>
      </c>
      <c r="I66" s="522">
        <v>5</v>
      </c>
      <c r="J66" s="143" t="s">
        <v>140</v>
      </c>
      <c r="K66" s="308"/>
      <c r="L66" s="233" t="s">
        <v>141</v>
      </c>
      <c r="M66" s="232">
        <f>I66*K66</f>
        <v>0</v>
      </c>
      <c r="N66" s="23"/>
      <c r="O66" s="24"/>
      <c r="P66" s="15"/>
      <c r="Q66" s="15"/>
      <c r="R66" s="3"/>
    </row>
    <row r="67" spans="1:19" ht="6.75" customHeight="1">
      <c r="A67" s="186"/>
      <c r="B67" s="12"/>
      <c r="C67" s="33"/>
      <c r="D67" s="33"/>
      <c r="E67" s="54"/>
      <c r="F67" s="54"/>
      <c r="G67" s="54"/>
      <c r="H67" s="11"/>
      <c r="I67" s="40"/>
      <c r="J67" s="17"/>
      <c r="K67" s="47"/>
      <c r="L67" s="17"/>
      <c r="M67" s="49"/>
      <c r="N67" s="23"/>
      <c r="O67" s="187"/>
      <c r="P67" s="11"/>
      <c r="R67" s="3"/>
    </row>
    <row r="68" spans="1:19" ht="12.6" customHeight="1">
      <c r="B68" s="12"/>
      <c r="C68" s="47"/>
      <c r="D68" s="54"/>
      <c r="E68" s="47"/>
      <c r="F68" s="54"/>
      <c r="G68" s="47"/>
      <c r="H68" s="11"/>
      <c r="I68" s="47"/>
      <c r="J68" s="11"/>
      <c r="K68" s="34"/>
      <c r="L68" s="17"/>
      <c r="M68" s="50" t="str">
        <f>Texte!A252</f>
        <v>Somme contributions</v>
      </c>
      <c r="N68" s="23"/>
      <c r="O68" s="187"/>
      <c r="P68" s="11"/>
      <c r="R68" s="3"/>
    </row>
    <row r="69" spans="1:19" ht="11.25" customHeight="1">
      <c r="B69" s="135"/>
      <c r="C69" s="114"/>
      <c r="D69" s="51"/>
      <c r="E69" s="51"/>
      <c r="F69" s="51"/>
      <c r="G69" s="47"/>
      <c r="H69" s="51"/>
      <c r="I69" s="134"/>
      <c r="J69" s="113"/>
      <c r="K69" s="115"/>
      <c r="L69" s="17"/>
      <c r="M69" s="116"/>
      <c r="N69" s="23" t="s">
        <v>141</v>
      </c>
      <c r="O69" s="52">
        <f>SUM(M55:M66)</f>
        <v>0</v>
      </c>
      <c r="P69" s="11"/>
      <c r="R69" s="3"/>
    </row>
    <row r="70" spans="1:19" ht="6" customHeight="1">
      <c r="B70" s="135"/>
      <c r="C70" s="114"/>
      <c r="D70" s="51"/>
      <c r="E70" s="51"/>
      <c r="F70" s="51"/>
      <c r="G70" s="47"/>
      <c r="H70" s="51"/>
      <c r="I70" s="134"/>
      <c r="J70" s="113"/>
      <c r="K70" s="115"/>
      <c r="L70" s="17"/>
      <c r="M70" s="116"/>
      <c r="N70" s="23"/>
      <c r="O70" s="117"/>
      <c r="P70" s="11"/>
      <c r="R70" s="3"/>
    </row>
    <row r="71" spans="1:19" ht="6.75" customHeight="1">
      <c r="B71" s="73"/>
      <c r="C71" s="17"/>
      <c r="D71" s="17"/>
      <c r="E71" s="17"/>
      <c r="F71" s="17"/>
      <c r="G71" s="17"/>
      <c r="H71" s="17"/>
      <c r="I71" s="17"/>
      <c r="J71" s="17"/>
      <c r="K71" s="17"/>
      <c r="L71" s="17"/>
      <c r="M71" s="17"/>
      <c r="N71" s="17"/>
      <c r="O71" s="72"/>
      <c r="P71" s="2"/>
      <c r="Q71" s="2"/>
      <c r="R71" s="3"/>
    </row>
    <row r="72" spans="1:19" s="186" customFormat="1" ht="17.100000000000001" customHeight="1">
      <c r="A72" s="184"/>
      <c r="B72" s="145" t="str">
        <f>Texte!A491</f>
        <v>Total contributions à la biodiversité</v>
      </c>
      <c r="C72" s="54"/>
      <c r="D72" s="54"/>
      <c r="E72" s="54"/>
      <c r="F72" s="54"/>
      <c r="G72" s="54"/>
      <c r="H72" s="54"/>
      <c r="I72" s="54"/>
      <c r="J72" s="54"/>
      <c r="K72" s="54"/>
      <c r="L72" s="54"/>
      <c r="M72" s="63"/>
      <c r="N72" s="17"/>
      <c r="O72" s="191">
        <f>O25+O42+O69</f>
        <v>0</v>
      </c>
      <c r="P72" s="15"/>
      <c r="Q72" s="15"/>
      <c r="R72" s="3"/>
    </row>
    <row r="73" spans="1:19" s="186" customFormat="1" ht="7.5" customHeight="1">
      <c r="A73" s="184"/>
      <c r="B73" s="145"/>
      <c r="C73" s="54"/>
      <c r="D73" s="54"/>
      <c r="E73" s="54"/>
      <c r="F73" s="54"/>
      <c r="G73" s="54"/>
      <c r="H73" s="54"/>
      <c r="I73" s="54"/>
      <c r="J73" s="54"/>
      <c r="K73" s="54"/>
      <c r="L73" s="54"/>
      <c r="M73" s="63"/>
      <c r="N73" s="17"/>
      <c r="O73" s="248"/>
      <c r="P73" s="15"/>
      <c r="Q73" s="15"/>
      <c r="R73" s="3"/>
    </row>
    <row r="74" spans="1:19" s="186" customFormat="1" ht="4.5" customHeight="1">
      <c r="A74" s="184"/>
      <c r="B74" s="203"/>
      <c r="C74" s="65"/>
      <c r="D74" s="65"/>
      <c r="E74" s="65"/>
      <c r="F74" s="65"/>
      <c r="G74" s="65"/>
      <c r="H74" s="65"/>
      <c r="I74" s="65"/>
      <c r="J74" s="65"/>
      <c r="K74" s="65"/>
      <c r="L74" s="65"/>
      <c r="M74" s="65"/>
      <c r="N74" s="65"/>
      <c r="O74" s="199"/>
      <c r="P74" s="15"/>
      <c r="Q74" s="15"/>
      <c r="R74" s="16"/>
      <c r="S74" s="184"/>
    </row>
    <row r="75" spans="1:19" s="186" customFormat="1" ht="12.75" customHeight="1">
      <c r="A75" s="184"/>
      <c r="B75" s="351"/>
      <c r="C75" s="54"/>
      <c r="D75" s="54"/>
      <c r="E75" s="54"/>
      <c r="F75" s="54"/>
      <c r="G75" s="54"/>
      <c r="H75" s="54"/>
      <c r="I75" s="54"/>
      <c r="J75" s="54"/>
      <c r="K75" s="54"/>
      <c r="L75" s="54"/>
      <c r="M75" s="54"/>
      <c r="N75" s="54"/>
      <c r="O75" s="196"/>
      <c r="P75" s="15"/>
      <c r="Q75" s="15"/>
      <c r="R75" s="16"/>
      <c r="S75" s="184"/>
    </row>
    <row r="76" spans="1:19" ht="36.75" customHeight="1">
      <c r="B76" s="490" t="s">
        <v>1089</v>
      </c>
      <c r="C76" s="682" t="str">
        <f>Texte!A458</f>
        <v>Surface de base = Surface agricole utile donnant droit aux contributions (voir définition dans feuille "Transition"), sauf surfaces exploitées par tradition à l'étranger, + 0.01 ha par arbre fruitier haute-tige, noyer, châtaignier QI.</v>
      </c>
      <c r="D76" s="683"/>
      <c r="E76" s="683"/>
      <c r="F76" s="683"/>
      <c r="G76" s="683"/>
      <c r="H76" s="683"/>
      <c r="I76" s="683"/>
      <c r="J76" s="683"/>
      <c r="K76" s="683"/>
      <c r="L76" s="683"/>
      <c r="M76" s="683"/>
      <c r="N76" s="683"/>
      <c r="O76" s="684"/>
      <c r="P76" s="2"/>
      <c r="Q76" s="2"/>
      <c r="R76" s="3"/>
    </row>
    <row r="77" spans="1:19" ht="45" customHeight="1">
      <c r="B77" s="488" t="s">
        <v>46</v>
      </c>
      <c r="C77" s="682" t="str">
        <f>Texte!A466</f>
        <v>Le chiffre calculé automatiquement est la somme des surfaces de l'onglet "Sécurité de l'approvisionnement" (terres ouvertes, cultures pérennes, prairies temporaires, SPB herbagères et surfaces herbagères permanentes hors SPB) + 556,557,559,572,851 + haies, bosquets et berges boisées QI + arbres QI (0.01 ha par arbre). Il doit être contrôlé et éventuellement corrigé, afin qu'il corresponde à la définition de la surface de base**.</v>
      </c>
      <c r="D77" s="683"/>
      <c r="E77" s="683"/>
      <c r="F77" s="683"/>
      <c r="G77" s="683"/>
      <c r="H77" s="683"/>
      <c r="I77" s="683"/>
      <c r="J77" s="683"/>
      <c r="K77" s="683"/>
      <c r="L77" s="683"/>
      <c r="M77" s="683"/>
      <c r="N77" s="683"/>
      <c r="O77" s="684"/>
      <c r="P77" s="2"/>
      <c r="Q77" s="2"/>
      <c r="R77" s="3"/>
    </row>
    <row r="78" spans="1:19" ht="14.1" customHeight="1">
      <c r="B78" s="488" t="s">
        <v>922</v>
      </c>
      <c r="C78" s="682" t="str">
        <f>Texte!A462</f>
        <v xml:space="preserve">Total des surfaces avec contributions QI (1 arbre = 0.01 ha) + surfaces viticoles présentant une riche biodiversité </v>
      </c>
      <c r="D78" s="683"/>
      <c r="E78" s="683"/>
      <c r="F78" s="683"/>
      <c r="G78" s="683"/>
      <c r="H78" s="683"/>
      <c r="I78" s="683"/>
      <c r="J78" s="683"/>
      <c r="K78" s="683"/>
      <c r="L78" s="683"/>
      <c r="M78" s="683"/>
      <c r="N78" s="683"/>
      <c r="O78" s="684"/>
      <c r="P78" s="2"/>
      <c r="Q78" s="2"/>
      <c r="R78" s="3"/>
    </row>
    <row r="79" spans="1:19" ht="13.5" customHeight="1">
      <c r="B79" s="489" t="s">
        <v>920</v>
      </c>
      <c r="C79" s="685" t="str">
        <f>Texte!A463</f>
        <v>Total des surfaces avec contributions QII (1 arbre = 0.01 ha), sans les herbages et surfaces à litière riches en espèces de la région d'estivage</v>
      </c>
      <c r="D79" s="686"/>
      <c r="E79" s="686"/>
      <c r="F79" s="686"/>
      <c r="G79" s="686"/>
      <c r="H79" s="686"/>
      <c r="I79" s="686"/>
      <c r="J79" s="686"/>
      <c r="K79" s="686"/>
      <c r="L79" s="686"/>
      <c r="M79" s="686"/>
      <c r="N79" s="686"/>
      <c r="O79" s="687"/>
      <c r="P79" s="2"/>
      <c r="Q79" s="2"/>
      <c r="R79" s="3"/>
    </row>
    <row r="80" spans="1:19" ht="30.75" customHeight="1">
      <c r="B80" s="2"/>
      <c r="C80" s="688" t="str">
        <f>Texte!A327</f>
        <v>Etat selon modifications d'ordonnances dans le cadre de l'initiative parlementaire 19.475 d'avril 2022. 
AGRIDEA décline toute responsabilité quant aux conséquences de l’utilisation de cet outil.                                                          Version 4.9.3</v>
      </c>
      <c r="D80" s="688"/>
      <c r="E80" s="688"/>
      <c r="F80" s="688"/>
      <c r="G80" s="688"/>
      <c r="H80" s="688"/>
      <c r="I80" s="688"/>
      <c r="J80" s="688"/>
      <c r="K80" s="688"/>
      <c r="L80" s="688"/>
      <c r="M80" s="688"/>
      <c r="N80" s="688"/>
      <c r="O80" s="688"/>
      <c r="P80" s="2"/>
      <c r="Q80" s="2"/>
      <c r="R80" s="3"/>
    </row>
    <row r="81" spans="2:18" ht="14.1" customHeight="1">
      <c r="B81" s="2"/>
      <c r="C81" s="2"/>
      <c r="D81" s="2"/>
      <c r="E81" s="2"/>
      <c r="F81" s="2"/>
      <c r="G81" s="2"/>
      <c r="H81" s="2"/>
      <c r="I81" s="2"/>
      <c r="J81" s="2"/>
      <c r="K81" s="2"/>
      <c r="L81" s="2"/>
      <c r="M81" s="2"/>
      <c r="N81" s="2"/>
      <c r="O81" s="2"/>
      <c r="P81" s="2"/>
      <c r="Q81" s="2"/>
      <c r="R81" s="3"/>
    </row>
    <row r="82" spans="2:18" ht="14.1" customHeight="1">
      <c r="B82" s="2"/>
      <c r="C82" s="2"/>
      <c r="D82" s="2"/>
      <c r="E82" s="2"/>
      <c r="F82" s="2"/>
      <c r="G82" s="2"/>
      <c r="H82" s="2"/>
      <c r="I82" s="2"/>
      <c r="J82" s="2"/>
      <c r="K82" s="2"/>
      <c r="L82" s="2"/>
      <c r="M82" s="2"/>
      <c r="N82" s="2"/>
      <c r="O82" s="2"/>
      <c r="P82" s="2"/>
      <c r="Q82" s="2"/>
      <c r="R82" s="3"/>
    </row>
    <row r="83" spans="2:18" ht="14.1" customHeight="1">
      <c r="B83" s="2"/>
      <c r="C83" s="2"/>
      <c r="D83" s="2"/>
      <c r="E83" s="2"/>
      <c r="F83" s="2"/>
      <c r="G83" s="2"/>
      <c r="H83" s="2"/>
      <c r="I83" s="2"/>
      <c r="J83" s="2"/>
      <c r="K83" s="2"/>
      <c r="L83" s="2"/>
      <c r="M83" s="2"/>
      <c r="N83" s="2"/>
      <c r="O83" s="2"/>
      <c r="P83" s="2"/>
      <c r="Q83" s="2"/>
      <c r="R83" s="3"/>
    </row>
    <row r="84" spans="2:18" ht="14.1" customHeight="1">
      <c r="B84" s="2"/>
      <c r="C84" s="2"/>
      <c r="D84" s="2"/>
      <c r="E84" s="2"/>
      <c r="F84" s="2"/>
      <c r="G84" s="2"/>
      <c r="H84" s="2"/>
      <c r="I84" s="2"/>
      <c r="J84" s="2"/>
      <c r="K84" s="2"/>
      <c r="L84" s="2"/>
      <c r="M84" s="2"/>
      <c r="N84" s="2"/>
      <c r="O84" s="2"/>
      <c r="P84" s="2"/>
      <c r="Q84" s="2"/>
      <c r="R84" s="3"/>
    </row>
    <row r="85" spans="2:18" ht="14.1" customHeight="1">
      <c r="B85" s="2"/>
      <c r="C85" s="2"/>
      <c r="D85" s="2"/>
      <c r="E85" s="2"/>
      <c r="F85" s="2"/>
      <c r="G85" s="2"/>
      <c r="H85" s="2"/>
      <c r="I85" s="2"/>
      <c r="J85" s="2"/>
      <c r="K85" s="2"/>
      <c r="L85" s="2"/>
      <c r="M85" s="2"/>
      <c r="N85" s="2"/>
      <c r="O85" s="2"/>
      <c r="P85" s="2"/>
      <c r="Q85" s="2"/>
      <c r="R85" s="3"/>
    </row>
    <row r="86" spans="2:18" ht="14.1" customHeight="1">
      <c r="B86" s="2"/>
      <c r="C86" s="2"/>
      <c r="D86" s="2"/>
      <c r="E86" s="2"/>
      <c r="F86" s="2"/>
      <c r="G86" s="2"/>
      <c r="H86" s="2"/>
      <c r="I86" s="2"/>
      <c r="J86" s="2"/>
      <c r="K86" s="2"/>
      <c r="L86" s="2"/>
      <c r="M86" s="2"/>
      <c r="N86" s="2"/>
      <c r="O86" s="2"/>
      <c r="P86" s="2"/>
      <c r="Q86" s="2"/>
      <c r="R86" s="3"/>
    </row>
    <row r="87" spans="2:18" ht="14.1" customHeight="1">
      <c r="B87" s="2"/>
      <c r="C87" s="2"/>
      <c r="D87" s="2"/>
      <c r="E87" s="2"/>
      <c r="F87" s="2"/>
      <c r="G87" s="2"/>
      <c r="H87" s="2"/>
      <c r="I87" s="2"/>
      <c r="J87" s="2"/>
      <c r="K87" s="2"/>
      <c r="L87" s="2"/>
      <c r="M87" s="2"/>
      <c r="N87" s="2"/>
      <c r="O87" s="2"/>
      <c r="P87" s="2"/>
      <c r="Q87" s="2"/>
      <c r="R87" s="3"/>
    </row>
    <row r="88" spans="2:18" ht="14.1" customHeight="1">
      <c r="B88" s="2"/>
      <c r="C88" s="2"/>
      <c r="D88" s="2"/>
      <c r="E88" s="2"/>
      <c r="F88" s="2"/>
      <c r="G88" s="2"/>
      <c r="H88" s="2"/>
      <c r="I88" s="2"/>
      <c r="J88" s="2"/>
      <c r="K88" s="2"/>
      <c r="L88" s="2"/>
      <c r="M88" s="2"/>
      <c r="N88" s="2"/>
      <c r="O88" s="2"/>
      <c r="P88" s="2"/>
      <c r="Q88" s="2"/>
      <c r="R88" s="3"/>
    </row>
    <row r="89" spans="2:18" ht="14.1" customHeight="1">
      <c r="B89" s="2"/>
      <c r="C89" s="2"/>
      <c r="D89" s="2"/>
      <c r="E89" s="2"/>
      <c r="F89" s="2"/>
      <c r="G89" s="2"/>
      <c r="H89" s="2"/>
      <c r="I89" s="2"/>
      <c r="J89" s="2"/>
      <c r="K89" s="2"/>
      <c r="L89" s="2"/>
      <c r="M89" s="2"/>
      <c r="N89" s="2"/>
      <c r="O89" s="2"/>
      <c r="P89" s="2"/>
      <c r="Q89" s="2"/>
      <c r="R89" s="3"/>
    </row>
    <row r="90" spans="2:18" ht="14.1" customHeight="1">
      <c r="B90" s="2"/>
      <c r="C90" s="2"/>
      <c r="D90" s="2"/>
      <c r="E90" s="2"/>
      <c r="F90" s="2"/>
      <c r="G90" s="2"/>
      <c r="H90" s="2"/>
      <c r="I90" s="2"/>
      <c r="J90" s="2"/>
      <c r="K90" s="2"/>
      <c r="L90" s="2"/>
      <c r="M90" s="2"/>
      <c r="N90" s="2"/>
      <c r="O90" s="2"/>
      <c r="P90" s="2"/>
      <c r="Q90" s="2"/>
      <c r="R90" s="3"/>
    </row>
    <row r="91" spans="2:18" ht="14.1" customHeight="1">
      <c r="B91" s="2"/>
      <c r="C91" s="2"/>
      <c r="D91" s="2"/>
      <c r="E91" s="2"/>
      <c r="F91" s="2"/>
      <c r="G91" s="2"/>
      <c r="H91" s="2"/>
      <c r="I91" s="2"/>
      <c r="J91" s="2"/>
      <c r="K91" s="2"/>
      <c r="L91" s="2"/>
      <c r="M91" s="2"/>
      <c r="N91" s="2"/>
      <c r="O91" s="2"/>
      <c r="P91" s="2"/>
      <c r="Q91" s="2"/>
      <c r="R91" s="3"/>
    </row>
    <row r="92" spans="2:18" ht="14.1" customHeight="1">
      <c r="B92" s="2"/>
      <c r="C92" s="2"/>
      <c r="D92" s="2"/>
      <c r="E92" s="2"/>
      <c r="F92" s="2"/>
      <c r="G92" s="2"/>
      <c r="H92" s="2"/>
      <c r="I92" s="2"/>
      <c r="J92" s="2"/>
      <c r="K92" s="2"/>
      <c r="L92" s="2"/>
      <c r="M92" s="2"/>
      <c r="N92" s="2"/>
      <c r="O92" s="2"/>
      <c r="P92" s="2"/>
      <c r="Q92" s="2"/>
      <c r="R92" s="3"/>
    </row>
    <row r="93" spans="2:18" ht="14.1" customHeight="1">
      <c r="B93" s="2"/>
      <c r="C93" s="2"/>
      <c r="D93" s="2"/>
      <c r="E93" s="2"/>
      <c r="F93" s="2"/>
      <c r="G93" s="2"/>
      <c r="H93" s="2"/>
      <c r="I93" s="2"/>
      <c r="J93" s="2"/>
      <c r="K93" s="2"/>
      <c r="L93" s="2"/>
      <c r="M93" s="2"/>
      <c r="N93" s="2"/>
      <c r="O93" s="2"/>
      <c r="P93" s="2"/>
      <c r="Q93" s="2"/>
      <c r="R93" s="3"/>
    </row>
    <row r="94" spans="2:18" ht="14.1" customHeight="1">
      <c r="B94" s="2"/>
      <c r="C94" s="2"/>
      <c r="D94" s="2"/>
      <c r="E94" s="2"/>
      <c r="F94" s="2"/>
      <c r="G94" s="2"/>
      <c r="H94" s="2"/>
      <c r="I94" s="2"/>
      <c r="J94" s="2"/>
      <c r="K94" s="2"/>
      <c r="L94" s="2"/>
      <c r="M94" s="2"/>
      <c r="N94" s="2"/>
      <c r="O94" s="2"/>
      <c r="P94" s="2"/>
      <c r="Q94" s="2"/>
      <c r="R94" s="3"/>
    </row>
    <row r="95" spans="2:18" ht="14.1" customHeight="1">
      <c r="B95" s="2"/>
      <c r="C95" s="2"/>
      <c r="D95" s="2"/>
      <c r="E95" s="2"/>
      <c r="F95" s="2"/>
      <c r="G95" s="2"/>
      <c r="H95" s="2"/>
      <c r="I95" s="2"/>
      <c r="J95" s="2"/>
      <c r="K95" s="2"/>
      <c r="L95" s="2"/>
      <c r="M95" s="2"/>
      <c r="N95" s="2"/>
      <c r="O95" s="2"/>
      <c r="P95" s="2"/>
      <c r="Q95" s="2"/>
      <c r="R95" s="3"/>
    </row>
    <row r="96" spans="2:18" ht="14.1" customHeight="1">
      <c r="B96" s="2"/>
      <c r="C96" s="2"/>
      <c r="D96" s="2"/>
      <c r="E96" s="2"/>
      <c r="F96" s="2"/>
      <c r="G96" s="2"/>
      <c r="H96" s="2"/>
      <c r="I96" s="2"/>
      <c r="J96" s="2"/>
      <c r="K96" s="2"/>
      <c r="L96" s="2"/>
      <c r="M96" s="2"/>
      <c r="N96" s="2"/>
      <c r="O96" s="2"/>
      <c r="P96" s="2"/>
      <c r="Q96" s="2"/>
      <c r="R96" s="3"/>
    </row>
    <row r="97" spans="2:18" ht="14.1" customHeight="1">
      <c r="B97" s="2"/>
      <c r="C97" s="2"/>
      <c r="D97" s="2"/>
      <c r="E97" s="2"/>
      <c r="F97" s="2"/>
      <c r="G97" s="2"/>
      <c r="H97" s="2"/>
      <c r="I97" s="2"/>
      <c r="J97" s="2"/>
      <c r="K97" s="2"/>
      <c r="L97" s="2"/>
      <c r="M97" s="2"/>
      <c r="N97" s="2"/>
      <c r="O97" s="2"/>
      <c r="P97" s="2"/>
      <c r="Q97" s="2"/>
      <c r="R97" s="3"/>
    </row>
    <row r="98" spans="2:18" ht="14.1" customHeight="1">
      <c r="B98" s="2"/>
      <c r="C98" s="2"/>
      <c r="D98" s="2"/>
      <c r="E98" s="2"/>
      <c r="F98" s="2"/>
      <c r="G98" s="2"/>
      <c r="H98" s="2"/>
      <c r="I98" s="2"/>
      <c r="J98" s="2"/>
      <c r="K98" s="2"/>
      <c r="L98" s="2"/>
      <c r="M98" s="2"/>
      <c r="N98" s="2"/>
      <c r="O98" s="2"/>
      <c r="P98" s="2"/>
      <c r="Q98" s="2"/>
      <c r="R98" s="3"/>
    </row>
    <row r="99" spans="2:18" ht="14.1" customHeight="1">
      <c r="B99" s="2"/>
      <c r="C99" s="2"/>
      <c r="D99" s="2"/>
      <c r="E99" s="2"/>
      <c r="F99" s="2"/>
      <c r="G99" s="2"/>
      <c r="H99" s="2"/>
      <c r="I99" s="2"/>
      <c r="J99" s="2"/>
      <c r="K99" s="2"/>
      <c r="L99" s="2"/>
      <c r="M99" s="2"/>
      <c r="N99" s="2"/>
      <c r="O99" s="2"/>
      <c r="P99" s="2"/>
      <c r="Q99" s="2"/>
      <c r="R99" s="3"/>
    </row>
    <row r="100" spans="2:18" ht="14.1" customHeight="1">
      <c r="B100" s="2"/>
      <c r="C100" s="2"/>
      <c r="D100" s="2"/>
      <c r="E100" s="2"/>
      <c r="F100" s="2"/>
      <c r="G100" s="2"/>
      <c r="H100" s="2"/>
      <c r="I100" s="2"/>
      <c r="J100" s="2"/>
      <c r="K100" s="2"/>
      <c r="L100" s="2"/>
      <c r="M100" s="2"/>
      <c r="N100" s="2"/>
      <c r="O100" s="2"/>
      <c r="P100" s="2"/>
      <c r="Q100" s="2"/>
      <c r="R100" s="3"/>
    </row>
    <row r="101" spans="2:18" ht="14.1" customHeight="1">
      <c r="B101" s="2"/>
      <c r="C101" s="2"/>
      <c r="D101" s="2"/>
      <c r="E101" s="2"/>
      <c r="F101" s="2"/>
      <c r="G101" s="2"/>
      <c r="H101" s="2"/>
      <c r="I101" s="2"/>
      <c r="J101" s="2"/>
      <c r="K101" s="2"/>
      <c r="L101" s="2"/>
      <c r="M101" s="2"/>
      <c r="N101" s="2"/>
      <c r="O101" s="2"/>
      <c r="P101" s="2"/>
      <c r="Q101" s="2"/>
      <c r="R101" s="3"/>
    </row>
    <row r="102" spans="2:18" ht="14.1" customHeight="1">
      <c r="B102" s="2"/>
      <c r="C102" s="2"/>
      <c r="D102" s="2"/>
      <c r="E102" s="2"/>
      <c r="F102" s="2"/>
      <c r="G102" s="2"/>
      <c r="H102" s="2"/>
      <c r="I102" s="2"/>
      <c r="J102" s="2"/>
      <c r="K102" s="2"/>
      <c r="L102" s="2"/>
      <c r="M102" s="2"/>
      <c r="N102" s="2"/>
      <c r="O102" s="2"/>
      <c r="P102" s="2"/>
      <c r="Q102" s="2"/>
      <c r="R102" s="3"/>
    </row>
    <row r="103" spans="2:18" ht="14.1" customHeight="1">
      <c r="B103" s="2"/>
      <c r="C103" s="2"/>
      <c r="D103" s="2"/>
      <c r="E103" s="2"/>
      <c r="F103" s="2"/>
      <c r="G103" s="2"/>
      <c r="H103" s="2"/>
      <c r="I103" s="2"/>
      <c r="J103" s="2"/>
      <c r="K103" s="2"/>
      <c r="L103" s="2"/>
      <c r="M103" s="2"/>
      <c r="N103" s="2"/>
      <c r="O103" s="2"/>
      <c r="P103" s="2"/>
      <c r="Q103" s="2"/>
      <c r="R103" s="3"/>
    </row>
    <row r="104" spans="2:18" ht="14.1" customHeight="1">
      <c r="B104" s="2"/>
      <c r="C104" s="2"/>
      <c r="D104" s="2"/>
      <c r="E104" s="2"/>
      <c r="F104" s="2"/>
      <c r="G104" s="2"/>
      <c r="H104" s="2"/>
      <c r="I104" s="2"/>
      <c r="J104" s="2"/>
      <c r="K104" s="2"/>
      <c r="L104" s="2"/>
      <c r="M104" s="2"/>
      <c r="N104" s="2"/>
      <c r="O104" s="2"/>
      <c r="P104" s="2"/>
      <c r="Q104" s="2"/>
      <c r="R104" s="3"/>
    </row>
    <row r="105" spans="2:18" ht="14.1" customHeight="1">
      <c r="B105" s="2"/>
      <c r="C105" s="2"/>
      <c r="D105" s="2"/>
      <c r="E105" s="2"/>
      <c r="F105" s="2"/>
      <c r="G105" s="2"/>
      <c r="H105" s="2"/>
      <c r="I105" s="2"/>
      <c r="J105" s="2"/>
      <c r="K105" s="2"/>
      <c r="L105" s="2"/>
      <c r="M105" s="2"/>
      <c r="N105" s="2"/>
      <c r="O105" s="2"/>
      <c r="P105" s="2"/>
      <c r="Q105" s="2"/>
      <c r="R105" s="3"/>
    </row>
    <row r="106" spans="2:18" ht="14.1" customHeight="1">
      <c r="B106" s="2"/>
      <c r="C106" s="2"/>
      <c r="D106" s="2"/>
      <c r="E106" s="2"/>
      <c r="F106" s="2"/>
      <c r="G106" s="2"/>
      <c r="H106" s="2"/>
      <c r="I106" s="2"/>
      <c r="J106" s="2"/>
      <c r="K106" s="2"/>
      <c r="L106" s="2"/>
      <c r="M106" s="2"/>
      <c r="N106" s="2"/>
      <c r="O106" s="2"/>
      <c r="P106" s="2"/>
      <c r="Q106" s="2"/>
      <c r="R106" s="3"/>
    </row>
    <row r="107" spans="2:18" ht="14.1" customHeight="1">
      <c r="B107" s="2"/>
      <c r="C107" s="2"/>
      <c r="D107" s="2"/>
      <c r="E107" s="2"/>
      <c r="F107" s="2"/>
      <c r="G107" s="2"/>
      <c r="H107" s="2"/>
      <c r="I107" s="2"/>
      <c r="J107" s="2"/>
      <c r="K107" s="2"/>
      <c r="L107" s="2"/>
      <c r="M107" s="2"/>
      <c r="N107" s="2"/>
      <c r="O107" s="2"/>
      <c r="P107" s="2"/>
      <c r="Q107" s="2"/>
      <c r="R107" s="3"/>
    </row>
    <row r="108" spans="2:18" ht="14.1" customHeight="1">
      <c r="B108" s="2"/>
      <c r="C108" s="2"/>
      <c r="D108" s="2"/>
      <c r="E108" s="2"/>
      <c r="F108" s="2"/>
      <c r="G108" s="2"/>
      <c r="H108" s="2"/>
      <c r="I108" s="2"/>
      <c r="J108" s="2"/>
      <c r="K108" s="2"/>
      <c r="L108" s="2"/>
      <c r="M108" s="2"/>
      <c r="N108" s="2"/>
      <c r="O108" s="2"/>
      <c r="P108" s="2"/>
      <c r="Q108" s="2"/>
      <c r="R108" s="3"/>
    </row>
    <row r="109" spans="2:18" ht="14.1" customHeight="1">
      <c r="B109" s="2"/>
      <c r="C109" s="2"/>
      <c r="D109" s="2"/>
      <c r="E109" s="2"/>
      <c r="F109" s="2"/>
      <c r="G109" s="2"/>
      <c r="H109" s="2"/>
      <c r="I109" s="2"/>
      <c r="J109" s="2"/>
      <c r="K109" s="2"/>
      <c r="L109" s="2"/>
      <c r="M109" s="2"/>
      <c r="N109" s="2"/>
      <c r="O109" s="2"/>
      <c r="P109" s="2"/>
      <c r="Q109" s="2"/>
      <c r="R109" s="3"/>
    </row>
    <row r="110" spans="2:18" ht="14.1" customHeight="1">
      <c r="B110" s="2"/>
      <c r="C110" s="2"/>
      <c r="D110" s="2"/>
      <c r="E110" s="2"/>
      <c r="F110" s="2"/>
      <c r="G110" s="2"/>
      <c r="H110" s="2"/>
      <c r="I110" s="2"/>
      <c r="J110" s="2"/>
      <c r="K110" s="2"/>
      <c r="L110" s="2"/>
      <c r="M110" s="2"/>
      <c r="N110" s="2"/>
      <c r="O110" s="2"/>
      <c r="P110" s="2"/>
      <c r="Q110" s="2"/>
      <c r="R110" s="3"/>
    </row>
    <row r="111" spans="2:18" ht="14.1" customHeight="1">
      <c r="B111" s="2"/>
      <c r="C111" s="2"/>
      <c r="D111" s="2"/>
      <c r="E111" s="2"/>
      <c r="F111" s="2"/>
      <c r="G111" s="2"/>
      <c r="H111" s="2"/>
      <c r="I111" s="2"/>
      <c r="J111" s="2"/>
      <c r="K111" s="2"/>
      <c r="L111" s="2"/>
      <c r="M111" s="2"/>
      <c r="N111" s="2"/>
      <c r="O111" s="2"/>
      <c r="P111" s="2"/>
      <c r="Q111" s="2"/>
      <c r="R111" s="3"/>
    </row>
    <row r="112" spans="2:18" ht="14.1" customHeight="1">
      <c r="B112" s="2"/>
      <c r="C112" s="2"/>
      <c r="D112" s="2"/>
      <c r="E112" s="2"/>
      <c r="F112" s="2"/>
      <c r="G112" s="2"/>
      <c r="H112" s="2"/>
      <c r="I112" s="2"/>
      <c r="J112" s="2"/>
      <c r="K112" s="2"/>
      <c r="L112" s="2"/>
      <c r="M112" s="2"/>
      <c r="N112" s="2"/>
      <c r="O112" s="2"/>
      <c r="P112" s="2"/>
      <c r="Q112" s="2"/>
      <c r="R112" s="3"/>
    </row>
    <row r="113" spans="2:18" ht="14.1" customHeight="1">
      <c r="B113" s="2"/>
      <c r="C113" s="2"/>
      <c r="D113" s="2"/>
      <c r="E113" s="2"/>
      <c r="F113" s="2"/>
      <c r="G113" s="2"/>
      <c r="H113" s="2"/>
      <c r="I113" s="2"/>
      <c r="J113" s="2"/>
      <c r="K113" s="2"/>
      <c r="L113" s="2"/>
      <c r="M113" s="2"/>
      <c r="N113" s="2"/>
      <c r="O113" s="2"/>
      <c r="P113" s="2"/>
      <c r="Q113" s="2"/>
      <c r="R113" s="3"/>
    </row>
    <row r="114" spans="2:18" ht="14.1" customHeight="1">
      <c r="B114" s="2"/>
      <c r="C114" s="2"/>
      <c r="D114" s="2"/>
      <c r="E114" s="2"/>
      <c r="F114" s="2"/>
      <c r="G114" s="2"/>
      <c r="H114" s="2"/>
      <c r="I114" s="2"/>
      <c r="J114" s="2"/>
      <c r="K114" s="2"/>
      <c r="L114" s="2"/>
      <c r="M114" s="2"/>
      <c r="N114" s="2"/>
      <c r="O114" s="2"/>
      <c r="P114" s="2"/>
      <c r="Q114" s="2"/>
      <c r="R114" s="3"/>
    </row>
    <row r="115" spans="2:18" ht="14.1" customHeight="1">
      <c r="B115" s="2"/>
      <c r="C115" s="2"/>
      <c r="D115" s="2"/>
      <c r="E115" s="2"/>
      <c r="F115" s="2"/>
      <c r="G115" s="2"/>
      <c r="H115" s="2"/>
      <c r="I115" s="2"/>
      <c r="J115" s="2"/>
      <c r="K115" s="2"/>
      <c r="L115" s="2"/>
      <c r="M115" s="2"/>
      <c r="N115" s="2"/>
      <c r="O115" s="2"/>
      <c r="P115" s="2"/>
      <c r="Q115" s="2"/>
      <c r="R115" s="3"/>
    </row>
    <row r="116" spans="2:18" ht="14.1" customHeight="1">
      <c r="B116" s="2"/>
      <c r="C116" s="2"/>
      <c r="D116" s="2"/>
      <c r="E116" s="2"/>
      <c r="F116" s="2"/>
      <c r="G116" s="2"/>
      <c r="H116" s="2"/>
      <c r="I116" s="2"/>
      <c r="J116" s="2"/>
      <c r="K116" s="2"/>
      <c r="L116" s="2"/>
      <c r="M116" s="2"/>
      <c r="N116" s="2"/>
      <c r="O116" s="2"/>
      <c r="P116" s="2"/>
      <c r="Q116" s="2"/>
      <c r="R116" s="3"/>
    </row>
    <row r="117" spans="2:18" ht="14.1" customHeight="1">
      <c r="B117" s="2"/>
      <c r="C117" s="2"/>
      <c r="D117" s="2"/>
      <c r="E117" s="2"/>
      <c r="F117" s="2"/>
      <c r="G117" s="2"/>
      <c r="H117" s="2"/>
      <c r="I117" s="2"/>
      <c r="J117" s="2"/>
      <c r="K117" s="2"/>
      <c r="L117" s="2"/>
      <c r="M117" s="2"/>
      <c r="N117" s="2"/>
      <c r="O117" s="2"/>
      <c r="P117" s="2"/>
      <c r="Q117" s="2"/>
      <c r="R117" s="3"/>
    </row>
    <row r="118" spans="2:18" ht="14.1" customHeight="1">
      <c r="B118" s="2"/>
      <c r="C118" s="2"/>
      <c r="D118" s="2"/>
      <c r="E118" s="2"/>
      <c r="F118" s="2"/>
      <c r="G118" s="2"/>
      <c r="H118" s="2"/>
      <c r="I118" s="2"/>
      <c r="J118" s="2"/>
      <c r="K118" s="2"/>
      <c r="L118" s="2"/>
      <c r="M118" s="2"/>
      <c r="N118" s="2"/>
      <c r="O118" s="2"/>
      <c r="P118" s="2"/>
      <c r="Q118" s="2"/>
      <c r="R118" s="3"/>
    </row>
    <row r="119" spans="2:18" ht="14.1" customHeight="1">
      <c r="B119" s="2"/>
      <c r="C119" s="2"/>
      <c r="D119" s="2"/>
      <c r="E119" s="2"/>
      <c r="F119" s="2"/>
      <c r="G119" s="2"/>
      <c r="H119" s="2"/>
      <c r="I119" s="2"/>
      <c r="J119" s="2"/>
      <c r="K119" s="2"/>
      <c r="L119" s="2"/>
      <c r="M119" s="2"/>
      <c r="N119" s="2"/>
      <c r="O119" s="2"/>
      <c r="P119" s="2"/>
      <c r="Q119" s="2"/>
      <c r="R119" s="3"/>
    </row>
    <row r="120" spans="2:18" ht="14.1" customHeight="1">
      <c r="B120" s="2"/>
      <c r="C120" s="2"/>
      <c r="D120" s="2"/>
      <c r="E120" s="2"/>
      <c r="F120" s="2"/>
      <c r="G120" s="2"/>
      <c r="H120" s="2"/>
      <c r="I120" s="2"/>
      <c r="J120" s="2"/>
      <c r="K120" s="2"/>
      <c r="L120" s="2"/>
      <c r="M120" s="2"/>
      <c r="N120" s="2"/>
      <c r="O120" s="2"/>
      <c r="P120" s="2"/>
      <c r="Q120" s="2"/>
      <c r="R120" s="3"/>
    </row>
    <row r="121" spans="2:18" ht="14.1" customHeight="1">
      <c r="B121" s="2"/>
      <c r="C121" s="2"/>
      <c r="D121" s="2"/>
      <c r="E121" s="2"/>
      <c r="F121" s="2"/>
      <c r="G121" s="2"/>
      <c r="H121" s="2"/>
      <c r="I121" s="2"/>
      <c r="J121" s="2"/>
      <c r="K121" s="2"/>
      <c r="L121" s="2"/>
      <c r="M121" s="2"/>
      <c r="N121" s="2"/>
      <c r="O121" s="2"/>
      <c r="P121" s="2"/>
      <c r="Q121" s="2"/>
      <c r="R121" s="3"/>
    </row>
    <row r="122" spans="2:18" ht="14.1" customHeight="1">
      <c r="B122" s="2"/>
      <c r="C122" s="2"/>
      <c r="D122" s="2"/>
      <c r="E122" s="2"/>
      <c r="F122" s="2"/>
      <c r="G122" s="2"/>
      <c r="H122" s="2"/>
      <c r="I122" s="2"/>
      <c r="J122" s="2"/>
      <c r="K122" s="2"/>
      <c r="L122" s="2"/>
      <c r="M122" s="2"/>
      <c r="N122" s="2"/>
      <c r="O122" s="2"/>
      <c r="P122" s="2"/>
      <c r="Q122" s="2"/>
      <c r="R122" s="3"/>
    </row>
    <row r="123" spans="2:18" ht="14.1" customHeight="1">
      <c r="B123" s="2"/>
      <c r="C123" s="2"/>
      <c r="D123" s="2"/>
      <c r="E123" s="2"/>
      <c r="F123" s="2"/>
      <c r="G123" s="2"/>
      <c r="H123" s="2"/>
      <c r="I123" s="2"/>
      <c r="J123" s="2"/>
      <c r="K123" s="2"/>
      <c r="L123" s="2"/>
      <c r="M123" s="2"/>
      <c r="N123" s="2"/>
      <c r="O123" s="2"/>
      <c r="P123" s="2"/>
      <c r="Q123" s="2"/>
      <c r="R123" s="3"/>
    </row>
    <row r="124" spans="2:18" ht="14.1" customHeight="1">
      <c r="B124" s="2"/>
      <c r="C124" s="2"/>
      <c r="D124" s="2"/>
      <c r="E124" s="2"/>
      <c r="F124" s="2"/>
      <c r="G124" s="2"/>
      <c r="H124" s="2"/>
      <c r="I124" s="2"/>
      <c r="J124" s="2"/>
      <c r="K124" s="2"/>
      <c r="L124" s="2"/>
      <c r="M124" s="2"/>
      <c r="N124" s="2"/>
      <c r="O124" s="2"/>
      <c r="P124" s="2"/>
      <c r="Q124" s="2"/>
      <c r="R124" s="3"/>
    </row>
    <row r="125" spans="2:18" ht="14.1" customHeight="1">
      <c r="B125" s="2"/>
      <c r="C125" s="2"/>
      <c r="D125" s="2"/>
      <c r="E125" s="2"/>
      <c r="F125" s="2"/>
      <c r="G125" s="2"/>
      <c r="H125" s="2"/>
      <c r="I125" s="2"/>
      <c r="J125" s="2"/>
      <c r="K125" s="2"/>
      <c r="L125" s="2"/>
      <c r="M125" s="2"/>
      <c r="N125" s="2"/>
      <c r="O125" s="2"/>
      <c r="P125" s="2"/>
      <c r="Q125" s="2"/>
      <c r="R125" s="3"/>
    </row>
    <row r="126" spans="2:18" ht="14.1" customHeight="1">
      <c r="B126" s="2"/>
      <c r="C126" s="2"/>
      <c r="D126" s="2"/>
      <c r="E126" s="2"/>
      <c r="F126" s="2"/>
      <c r="G126" s="2"/>
      <c r="H126" s="2"/>
      <c r="I126" s="2"/>
      <c r="J126" s="2"/>
      <c r="K126" s="2"/>
      <c r="L126" s="2"/>
      <c r="M126" s="2"/>
      <c r="N126" s="2"/>
      <c r="O126" s="2"/>
      <c r="P126" s="2"/>
      <c r="Q126" s="2"/>
      <c r="R126" s="3"/>
    </row>
    <row r="127" spans="2:18" ht="14.1" customHeight="1">
      <c r="B127" s="2"/>
      <c r="C127" s="2"/>
      <c r="D127" s="2"/>
      <c r="E127" s="2"/>
      <c r="F127" s="2"/>
      <c r="G127" s="2"/>
      <c r="H127" s="2"/>
      <c r="I127" s="2"/>
      <c r="J127" s="2"/>
      <c r="K127" s="2"/>
      <c r="L127" s="2"/>
      <c r="M127" s="2"/>
      <c r="N127" s="2"/>
      <c r="O127" s="2"/>
      <c r="P127" s="2"/>
      <c r="Q127" s="2"/>
      <c r="R127" s="3"/>
    </row>
    <row r="128" spans="2:18" ht="14.1" customHeight="1">
      <c r="B128" s="2"/>
      <c r="C128" s="2"/>
      <c r="D128" s="2"/>
      <c r="E128" s="2"/>
      <c r="F128" s="2"/>
      <c r="G128" s="2"/>
      <c r="H128" s="2"/>
      <c r="I128" s="2"/>
      <c r="J128" s="2"/>
      <c r="K128" s="2"/>
      <c r="L128" s="2"/>
      <c r="M128" s="2"/>
      <c r="N128" s="2"/>
      <c r="O128" s="2"/>
      <c r="P128" s="2"/>
      <c r="Q128" s="2"/>
      <c r="R128" s="3"/>
    </row>
    <row r="129" spans="2:18" ht="14.1" customHeight="1">
      <c r="B129" s="2"/>
      <c r="C129" s="2"/>
      <c r="D129" s="2"/>
      <c r="E129" s="2"/>
      <c r="F129" s="2"/>
      <c r="G129" s="2"/>
      <c r="H129" s="2"/>
      <c r="I129" s="2"/>
      <c r="J129" s="2"/>
      <c r="K129" s="2"/>
      <c r="L129" s="2"/>
      <c r="M129" s="2"/>
      <c r="N129" s="2"/>
      <c r="O129" s="2"/>
      <c r="P129" s="2"/>
      <c r="Q129" s="2"/>
      <c r="R129" s="3"/>
    </row>
    <row r="130" spans="2:18" ht="14.1" customHeight="1">
      <c r="B130" s="2"/>
      <c r="C130" s="2"/>
      <c r="D130" s="2"/>
      <c r="E130" s="2"/>
      <c r="F130" s="2"/>
      <c r="G130" s="2"/>
      <c r="H130" s="2"/>
      <c r="I130" s="2"/>
      <c r="J130" s="2"/>
      <c r="K130" s="2"/>
      <c r="L130" s="2"/>
      <c r="M130" s="2"/>
      <c r="N130" s="2"/>
      <c r="O130" s="2"/>
      <c r="P130" s="2"/>
      <c r="Q130" s="2"/>
      <c r="R130" s="3"/>
    </row>
    <row r="131" spans="2:18" ht="14.1" customHeight="1">
      <c r="B131" s="2"/>
      <c r="C131" s="2"/>
      <c r="D131" s="2"/>
      <c r="E131" s="2"/>
      <c r="F131" s="2"/>
      <c r="G131" s="2"/>
      <c r="H131" s="2"/>
      <c r="I131" s="2"/>
      <c r="J131" s="2"/>
      <c r="K131" s="2"/>
      <c r="L131" s="2"/>
      <c r="M131" s="2"/>
      <c r="N131" s="2"/>
      <c r="O131" s="2"/>
      <c r="P131" s="2"/>
      <c r="Q131" s="2"/>
      <c r="R131" s="3"/>
    </row>
    <row r="132" spans="2:18" ht="14.1" customHeight="1">
      <c r="B132" s="2"/>
      <c r="C132" s="2"/>
      <c r="D132" s="2"/>
      <c r="E132" s="2"/>
      <c r="F132" s="2"/>
      <c r="G132" s="2"/>
      <c r="H132" s="2"/>
      <c r="I132" s="2"/>
      <c r="J132" s="2"/>
      <c r="K132" s="2"/>
      <c r="L132" s="2"/>
      <c r="M132" s="2"/>
      <c r="N132" s="2"/>
      <c r="O132" s="2"/>
      <c r="P132" s="2"/>
      <c r="Q132" s="2"/>
      <c r="R132" s="3"/>
    </row>
    <row r="133" spans="2:18" ht="14.1" customHeight="1">
      <c r="B133" s="2"/>
      <c r="C133" s="2"/>
      <c r="D133" s="2"/>
      <c r="E133" s="2"/>
      <c r="F133" s="2"/>
      <c r="G133" s="2"/>
      <c r="H133" s="2"/>
      <c r="I133" s="2"/>
      <c r="J133" s="2"/>
      <c r="K133" s="2"/>
      <c r="L133" s="2"/>
      <c r="M133" s="2"/>
      <c r="N133" s="2"/>
      <c r="O133" s="2"/>
      <c r="P133" s="2"/>
      <c r="Q133" s="2"/>
      <c r="R133" s="3"/>
    </row>
    <row r="134" spans="2:18" ht="14.1" customHeight="1">
      <c r="B134" s="2"/>
      <c r="C134" s="2"/>
      <c r="D134" s="2"/>
      <c r="E134" s="2"/>
      <c r="F134" s="2"/>
      <c r="G134" s="2"/>
      <c r="H134" s="2"/>
      <c r="I134" s="2"/>
      <c r="J134" s="2"/>
      <c r="K134" s="2"/>
      <c r="L134" s="2"/>
      <c r="M134" s="2"/>
      <c r="N134" s="2"/>
      <c r="O134" s="2"/>
      <c r="P134" s="2"/>
      <c r="Q134" s="2"/>
      <c r="R134" s="3"/>
    </row>
    <row r="135" spans="2:18" ht="14.1" customHeight="1">
      <c r="B135" s="2"/>
      <c r="C135" s="2"/>
      <c r="D135" s="2"/>
      <c r="E135" s="2"/>
      <c r="F135" s="2"/>
      <c r="G135" s="2"/>
      <c r="H135" s="2"/>
      <c r="I135" s="2"/>
      <c r="J135" s="2"/>
      <c r="K135" s="2"/>
      <c r="L135" s="2"/>
      <c r="M135" s="2"/>
      <c r="N135" s="2"/>
      <c r="O135" s="2"/>
      <c r="P135" s="2"/>
      <c r="Q135" s="2"/>
      <c r="R135" s="3"/>
    </row>
    <row r="136" spans="2:18" ht="14.1" customHeight="1">
      <c r="B136" s="2"/>
      <c r="C136" s="2"/>
      <c r="D136" s="2"/>
      <c r="E136" s="2"/>
      <c r="F136" s="2"/>
      <c r="G136" s="2"/>
      <c r="H136" s="2"/>
      <c r="I136" s="2"/>
      <c r="J136" s="2"/>
      <c r="K136" s="2"/>
      <c r="L136" s="2"/>
      <c r="M136" s="2"/>
      <c r="N136" s="2"/>
      <c r="O136" s="2"/>
      <c r="P136" s="2"/>
      <c r="Q136" s="2"/>
      <c r="R136" s="3"/>
    </row>
    <row r="137" spans="2:18" ht="14.1" customHeight="1">
      <c r="B137" s="2"/>
      <c r="C137" s="2"/>
      <c r="D137" s="2"/>
      <c r="E137" s="2"/>
      <c r="F137" s="2"/>
      <c r="G137" s="2"/>
      <c r="H137" s="2"/>
      <c r="I137" s="2"/>
      <c r="J137" s="2"/>
      <c r="K137" s="2"/>
      <c r="L137" s="2"/>
      <c r="M137" s="2"/>
      <c r="N137" s="2"/>
      <c r="O137" s="2"/>
      <c r="P137" s="2"/>
      <c r="Q137" s="2"/>
      <c r="R137" s="3"/>
    </row>
    <row r="138" spans="2:18" ht="14.1" customHeight="1">
      <c r="B138" s="2"/>
      <c r="C138" s="2"/>
      <c r="D138" s="2"/>
      <c r="E138" s="2"/>
      <c r="F138" s="2"/>
      <c r="G138" s="2"/>
      <c r="H138" s="2"/>
      <c r="I138" s="2"/>
      <c r="J138" s="2"/>
      <c r="K138" s="2"/>
      <c r="L138" s="2"/>
      <c r="M138" s="2"/>
      <c r="N138" s="2"/>
      <c r="O138" s="2"/>
      <c r="P138" s="2"/>
      <c r="Q138" s="2"/>
      <c r="R138" s="3"/>
    </row>
    <row r="139" spans="2:18" ht="14.1" customHeight="1">
      <c r="B139" s="2"/>
      <c r="C139" s="2"/>
      <c r="D139" s="2"/>
      <c r="E139" s="2"/>
      <c r="F139" s="2"/>
      <c r="G139" s="2"/>
      <c r="H139" s="2"/>
      <c r="I139" s="2"/>
      <c r="J139" s="2"/>
      <c r="K139" s="2"/>
      <c r="L139" s="2"/>
      <c r="M139" s="2"/>
      <c r="N139" s="2"/>
      <c r="O139" s="2"/>
      <c r="P139" s="2"/>
      <c r="Q139" s="2"/>
      <c r="R139" s="3"/>
    </row>
    <row r="140" spans="2:18" ht="14.1" customHeight="1">
      <c r="B140" s="2"/>
      <c r="C140" s="2"/>
      <c r="D140" s="2"/>
      <c r="E140" s="2"/>
      <c r="F140" s="2"/>
      <c r="G140" s="2"/>
      <c r="H140" s="2"/>
      <c r="I140" s="2"/>
      <c r="J140" s="2"/>
      <c r="K140" s="2"/>
      <c r="L140" s="2"/>
      <c r="M140" s="2"/>
      <c r="N140" s="2"/>
      <c r="O140" s="2"/>
      <c r="P140" s="2"/>
      <c r="Q140" s="2"/>
      <c r="R140" s="3"/>
    </row>
    <row r="141" spans="2:18" ht="14.1" customHeight="1">
      <c r="B141" s="2"/>
      <c r="C141" s="2"/>
      <c r="D141" s="2"/>
      <c r="E141" s="2"/>
      <c r="F141" s="2"/>
      <c r="G141" s="2"/>
      <c r="H141" s="2"/>
      <c r="I141" s="2"/>
      <c r="J141" s="2"/>
      <c r="K141" s="2"/>
      <c r="L141" s="2"/>
      <c r="M141" s="2"/>
      <c r="N141" s="2"/>
      <c r="O141" s="2"/>
      <c r="P141" s="2"/>
      <c r="Q141" s="2"/>
      <c r="R141" s="3"/>
    </row>
    <row r="142" spans="2:18" ht="14.1" customHeight="1">
      <c r="B142" s="2"/>
      <c r="C142" s="2"/>
      <c r="D142" s="2"/>
      <c r="E142" s="2"/>
      <c r="F142" s="2"/>
      <c r="G142" s="2"/>
      <c r="H142" s="2"/>
      <c r="I142" s="2"/>
      <c r="J142" s="2"/>
      <c r="K142" s="2"/>
      <c r="L142" s="2"/>
      <c r="M142" s="2"/>
      <c r="N142" s="2"/>
      <c r="O142" s="2"/>
      <c r="P142" s="2"/>
      <c r="Q142" s="2"/>
      <c r="R142" s="3"/>
    </row>
    <row r="143" spans="2:18" ht="14.1" customHeight="1">
      <c r="B143" s="2"/>
      <c r="C143" s="2"/>
      <c r="D143" s="2"/>
      <c r="E143" s="2"/>
      <c r="F143" s="2"/>
      <c r="G143" s="2"/>
      <c r="H143" s="2"/>
      <c r="I143" s="2"/>
      <c r="J143" s="2"/>
      <c r="K143" s="2"/>
      <c r="L143" s="2"/>
      <c r="M143" s="2"/>
      <c r="N143" s="2"/>
      <c r="O143" s="2"/>
      <c r="P143" s="2"/>
      <c r="Q143" s="2"/>
      <c r="R143" s="3"/>
    </row>
    <row r="144" spans="2:18" ht="14.1" customHeight="1">
      <c r="B144" s="2"/>
      <c r="C144" s="2"/>
      <c r="D144" s="2"/>
      <c r="E144" s="2"/>
      <c r="F144" s="2"/>
      <c r="G144" s="2"/>
      <c r="H144" s="2"/>
      <c r="I144" s="2"/>
      <c r="J144" s="2"/>
      <c r="K144" s="2"/>
      <c r="L144" s="2"/>
      <c r="M144" s="2"/>
      <c r="N144" s="2"/>
      <c r="O144" s="2"/>
      <c r="P144" s="2"/>
      <c r="Q144" s="2"/>
      <c r="R144" s="3"/>
    </row>
    <row r="145" spans="2:18" ht="14.1" customHeight="1">
      <c r="B145" s="2"/>
      <c r="C145" s="2"/>
      <c r="D145" s="2"/>
      <c r="E145" s="2"/>
      <c r="F145" s="2"/>
      <c r="G145" s="2"/>
      <c r="H145" s="2"/>
      <c r="I145" s="2"/>
      <c r="J145" s="2"/>
      <c r="K145" s="2"/>
      <c r="L145" s="2"/>
      <c r="M145" s="2"/>
      <c r="N145" s="2"/>
      <c r="O145" s="2"/>
      <c r="P145" s="2"/>
      <c r="Q145" s="2"/>
      <c r="R145" s="3"/>
    </row>
    <row r="146" spans="2:18" ht="14.1" customHeight="1">
      <c r="B146" s="2"/>
      <c r="C146" s="2"/>
      <c r="D146" s="2"/>
      <c r="E146" s="2"/>
      <c r="F146" s="2"/>
      <c r="G146" s="2"/>
      <c r="H146" s="2"/>
      <c r="I146" s="2"/>
      <c r="J146" s="2"/>
      <c r="K146" s="2"/>
      <c r="L146" s="2"/>
      <c r="M146" s="2"/>
      <c r="N146" s="2"/>
      <c r="O146" s="2"/>
      <c r="P146" s="2"/>
      <c r="Q146" s="2"/>
      <c r="R146" s="3"/>
    </row>
    <row r="147" spans="2:18" ht="14.1" customHeight="1">
      <c r="B147" s="2"/>
      <c r="C147" s="2"/>
      <c r="D147" s="2"/>
      <c r="E147" s="2"/>
      <c r="F147" s="2"/>
      <c r="G147" s="2"/>
      <c r="H147" s="2"/>
      <c r="I147" s="2"/>
      <c r="J147" s="2"/>
      <c r="K147" s="2"/>
      <c r="L147" s="2"/>
      <c r="M147" s="2"/>
      <c r="N147" s="2"/>
      <c r="O147" s="2"/>
      <c r="P147" s="2"/>
      <c r="Q147" s="2"/>
      <c r="R147" s="3"/>
    </row>
    <row r="148" spans="2:18" ht="14.1" customHeight="1">
      <c r="B148" s="2"/>
      <c r="C148" s="2"/>
      <c r="D148" s="2"/>
      <c r="E148" s="2"/>
      <c r="F148" s="2"/>
      <c r="G148" s="2"/>
      <c r="H148" s="2"/>
      <c r="I148" s="2"/>
      <c r="J148" s="2"/>
      <c r="K148" s="2"/>
      <c r="L148" s="2"/>
      <c r="M148" s="2"/>
      <c r="N148" s="2"/>
      <c r="O148" s="2"/>
      <c r="P148" s="2"/>
      <c r="Q148" s="2"/>
      <c r="R148" s="3"/>
    </row>
    <row r="149" spans="2:18" ht="14.1" customHeight="1">
      <c r="B149" s="2"/>
      <c r="C149" s="2"/>
      <c r="D149" s="2"/>
      <c r="E149" s="2"/>
      <c r="F149" s="2"/>
      <c r="G149" s="2"/>
      <c r="H149" s="2"/>
      <c r="I149" s="2"/>
      <c r="J149" s="2"/>
      <c r="K149" s="2"/>
      <c r="L149" s="2"/>
      <c r="M149" s="2"/>
      <c r="N149" s="2"/>
      <c r="O149" s="2"/>
      <c r="P149" s="2"/>
      <c r="Q149" s="2"/>
      <c r="R149" s="3"/>
    </row>
    <row r="150" spans="2:18" ht="14.1" customHeight="1">
      <c r="B150" s="2"/>
      <c r="C150" s="2"/>
      <c r="D150" s="2"/>
      <c r="E150" s="2"/>
      <c r="F150" s="2"/>
      <c r="G150" s="2"/>
      <c r="H150" s="2"/>
      <c r="I150" s="2"/>
      <c r="J150" s="2"/>
      <c r="K150" s="2"/>
      <c r="L150" s="2"/>
      <c r="M150" s="2"/>
      <c r="N150" s="2"/>
      <c r="O150" s="2"/>
      <c r="P150" s="2"/>
      <c r="Q150" s="2"/>
      <c r="R150" s="3"/>
    </row>
    <row r="151" spans="2:18" ht="14.1" customHeight="1">
      <c r="B151" s="2"/>
      <c r="C151" s="2"/>
      <c r="D151" s="2"/>
      <c r="E151" s="2"/>
      <c r="F151" s="2"/>
      <c r="G151" s="2"/>
      <c r="H151" s="2"/>
      <c r="I151" s="2"/>
      <c r="J151" s="2"/>
      <c r="K151" s="2"/>
      <c r="L151" s="2"/>
      <c r="M151" s="2"/>
      <c r="N151" s="2"/>
      <c r="O151" s="2"/>
      <c r="P151" s="2"/>
      <c r="Q151" s="2"/>
      <c r="R151" s="3"/>
    </row>
    <row r="152" spans="2:18" ht="14.1" customHeight="1">
      <c r="B152" s="2"/>
      <c r="C152" s="2"/>
      <c r="D152" s="2"/>
      <c r="E152" s="2"/>
      <c r="F152" s="2"/>
      <c r="G152" s="2"/>
      <c r="H152" s="2"/>
      <c r="I152" s="2"/>
      <c r="J152" s="2"/>
      <c r="K152" s="2"/>
      <c r="L152" s="2"/>
      <c r="M152" s="2"/>
      <c r="N152" s="2"/>
      <c r="O152" s="2"/>
      <c r="P152" s="2"/>
      <c r="Q152" s="2"/>
      <c r="R152" s="3"/>
    </row>
    <row r="153" spans="2:18" ht="14.1" customHeight="1">
      <c r="B153" s="2"/>
      <c r="C153" s="2"/>
      <c r="D153" s="2"/>
      <c r="E153" s="2"/>
      <c r="F153" s="2"/>
      <c r="G153" s="2"/>
      <c r="H153" s="2"/>
      <c r="I153" s="2"/>
      <c r="J153" s="2"/>
      <c r="K153" s="2"/>
      <c r="L153" s="2"/>
      <c r="M153" s="2"/>
      <c r="N153" s="2"/>
      <c r="O153" s="2"/>
      <c r="P153" s="2"/>
      <c r="Q153" s="2"/>
      <c r="R153" s="3"/>
    </row>
    <row r="154" spans="2:18" ht="14.1" customHeight="1">
      <c r="B154" s="2"/>
      <c r="C154" s="2"/>
      <c r="D154" s="2"/>
      <c r="E154" s="2"/>
      <c r="F154" s="2"/>
      <c r="G154" s="2"/>
      <c r="H154" s="2"/>
      <c r="I154" s="2"/>
      <c r="J154" s="2"/>
      <c r="K154" s="2"/>
      <c r="L154" s="2"/>
      <c r="M154" s="2"/>
      <c r="N154" s="2"/>
      <c r="O154" s="2"/>
      <c r="P154" s="2"/>
      <c r="Q154" s="2"/>
      <c r="R154" s="3"/>
    </row>
    <row r="155" spans="2:18" ht="14.1" customHeight="1">
      <c r="B155" s="2"/>
      <c r="C155" s="2"/>
      <c r="D155" s="2"/>
      <c r="E155" s="2"/>
      <c r="F155" s="2"/>
      <c r="G155" s="2"/>
      <c r="H155" s="2"/>
      <c r="I155" s="2"/>
      <c r="J155" s="2"/>
      <c r="K155" s="2"/>
      <c r="L155" s="2"/>
      <c r="M155" s="2"/>
      <c r="N155" s="2"/>
      <c r="O155" s="2"/>
      <c r="P155" s="2"/>
      <c r="Q155" s="2"/>
      <c r="R155" s="3"/>
    </row>
    <row r="156" spans="2:18" ht="14.1" customHeight="1">
      <c r="B156" s="2"/>
      <c r="C156" s="2"/>
      <c r="D156" s="2"/>
      <c r="E156" s="2"/>
      <c r="F156" s="2"/>
      <c r="G156" s="2"/>
      <c r="H156" s="2"/>
      <c r="I156" s="2"/>
      <c r="J156" s="2"/>
      <c r="K156" s="2"/>
      <c r="L156" s="2"/>
      <c r="M156" s="2"/>
      <c r="N156" s="2"/>
      <c r="O156" s="2"/>
      <c r="P156" s="2"/>
      <c r="Q156" s="2"/>
      <c r="R156" s="3"/>
    </row>
    <row r="157" spans="2:18" ht="14.1" customHeight="1">
      <c r="B157" s="2"/>
      <c r="C157" s="2"/>
      <c r="D157" s="2"/>
      <c r="E157" s="2"/>
      <c r="F157" s="2"/>
      <c r="G157" s="2"/>
      <c r="H157" s="2"/>
      <c r="I157" s="2"/>
      <c r="J157" s="2"/>
      <c r="K157" s="2"/>
      <c r="L157" s="2"/>
      <c r="M157" s="2"/>
      <c r="N157" s="2"/>
      <c r="O157" s="2"/>
      <c r="P157" s="2"/>
      <c r="Q157" s="2"/>
      <c r="R157" s="3"/>
    </row>
    <row r="158" spans="2:18" ht="14.1" customHeight="1">
      <c r="B158" s="2"/>
      <c r="C158" s="2"/>
      <c r="D158" s="2"/>
      <c r="E158" s="2"/>
      <c r="F158" s="2"/>
      <c r="G158" s="2"/>
      <c r="H158" s="2"/>
      <c r="I158" s="2"/>
      <c r="J158" s="2"/>
      <c r="K158" s="2"/>
      <c r="L158" s="2"/>
      <c r="M158" s="2"/>
      <c r="N158" s="2"/>
      <c r="O158" s="2"/>
      <c r="P158" s="2"/>
      <c r="Q158" s="2"/>
      <c r="R158" s="3"/>
    </row>
    <row r="159" spans="2:18" ht="14.1" customHeight="1">
      <c r="B159" s="2"/>
      <c r="C159" s="2"/>
      <c r="D159" s="2"/>
      <c r="E159" s="2"/>
      <c r="F159" s="2"/>
      <c r="G159" s="2"/>
      <c r="H159" s="2"/>
      <c r="I159" s="2"/>
      <c r="J159" s="2"/>
      <c r="K159" s="2"/>
      <c r="L159" s="2"/>
      <c r="M159" s="2"/>
      <c r="N159" s="2"/>
      <c r="O159" s="2"/>
      <c r="P159" s="2"/>
      <c r="Q159" s="2"/>
      <c r="R159" s="3"/>
    </row>
    <row r="160" spans="2:18" ht="14.1" customHeight="1">
      <c r="B160" s="2"/>
      <c r="C160" s="2"/>
      <c r="D160" s="2"/>
      <c r="E160" s="2"/>
      <c r="F160" s="2"/>
      <c r="G160" s="2"/>
      <c r="H160" s="2"/>
      <c r="I160" s="2"/>
      <c r="J160" s="2"/>
      <c r="K160" s="2"/>
      <c r="L160" s="2"/>
      <c r="M160" s="2"/>
      <c r="N160" s="2"/>
      <c r="O160" s="2"/>
      <c r="P160" s="2"/>
      <c r="Q160" s="2"/>
      <c r="R160" s="3"/>
    </row>
    <row r="161" spans="2:18" ht="14.1" customHeight="1">
      <c r="B161" s="2"/>
      <c r="C161" s="2"/>
      <c r="D161" s="2"/>
      <c r="E161" s="2"/>
      <c r="F161" s="2"/>
      <c r="G161" s="2"/>
      <c r="H161" s="2"/>
      <c r="I161" s="2"/>
      <c r="J161" s="2"/>
      <c r="K161" s="2"/>
      <c r="L161" s="2"/>
      <c r="M161" s="2"/>
      <c r="N161" s="2"/>
      <c r="O161" s="2"/>
      <c r="P161" s="2"/>
      <c r="Q161" s="2"/>
      <c r="R161" s="3"/>
    </row>
    <row r="162" spans="2:18" ht="14.1" customHeight="1">
      <c r="B162" s="2"/>
      <c r="C162" s="2"/>
      <c r="D162" s="2"/>
      <c r="E162" s="2"/>
      <c r="F162" s="2"/>
      <c r="G162" s="2"/>
      <c r="H162" s="2"/>
      <c r="I162" s="2"/>
      <c r="J162" s="2"/>
      <c r="K162" s="2"/>
      <c r="L162" s="2"/>
      <c r="M162" s="2"/>
      <c r="N162" s="2"/>
      <c r="O162" s="2"/>
      <c r="P162" s="2"/>
      <c r="Q162" s="2"/>
      <c r="R162" s="3"/>
    </row>
    <row r="163" spans="2:18" ht="14.1" customHeight="1">
      <c r="B163" s="2"/>
      <c r="C163" s="2"/>
      <c r="D163" s="2"/>
      <c r="E163" s="2"/>
      <c r="F163" s="2"/>
      <c r="G163" s="2"/>
      <c r="H163" s="2"/>
      <c r="I163" s="2"/>
      <c r="J163" s="2"/>
      <c r="K163" s="2"/>
      <c r="L163" s="2"/>
      <c r="M163" s="2"/>
      <c r="N163" s="2"/>
      <c r="O163" s="2"/>
      <c r="P163" s="2"/>
      <c r="Q163" s="2"/>
      <c r="R163" s="3"/>
    </row>
    <row r="164" spans="2:18" ht="14.1" customHeight="1">
      <c r="B164" s="2"/>
      <c r="C164" s="2"/>
      <c r="D164" s="2"/>
      <c r="E164" s="2"/>
      <c r="F164" s="2"/>
      <c r="G164" s="2"/>
      <c r="H164" s="2"/>
      <c r="I164" s="2"/>
      <c r="J164" s="2"/>
      <c r="K164" s="2"/>
      <c r="L164" s="2"/>
      <c r="M164" s="2"/>
      <c r="N164" s="2"/>
      <c r="O164" s="2"/>
      <c r="P164" s="2"/>
      <c r="Q164" s="2"/>
      <c r="R164" s="3"/>
    </row>
    <row r="165" spans="2:18" ht="14.1" customHeight="1">
      <c r="B165" s="2"/>
      <c r="C165" s="2"/>
      <c r="D165" s="2"/>
      <c r="E165" s="2"/>
      <c r="F165" s="2"/>
      <c r="G165" s="2"/>
      <c r="H165" s="2"/>
      <c r="I165" s="2"/>
      <c r="J165" s="2"/>
      <c r="K165" s="2"/>
      <c r="L165" s="2"/>
      <c r="M165" s="2"/>
      <c r="N165" s="2"/>
      <c r="O165" s="2"/>
      <c r="P165" s="2"/>
      <c r="Q165" s="2"/>
      <c r="R165" s="3"/>
    </row>
    <row r="166" spans="2:18" ht="14.1" customHeight="1">
      <c r="B166" s="2"/>
      <c r="C166" s="2"/>
      <c r="D166" s="2"/>
      <c r="E166" s="2"/>
      <c r="F166" s="2"/>
      <c r="G166" s="2"/>
      <c r="H166" s="2"/>
      <c r="I166" s="2"/>
      <c r="J166" s="2"/>
      <c r="K166" s="2"/>
      <c r="L166" s="2"/>
      <c r="M166" s="2"/>
      <c r="N166" s="2"/>
      <c r="O166" s="2"/>
      <c r="P166" s="2"/>
      <c r="Q166" s="2"/>
      <c r="R166" s="3"/>
    </row>
    <row r="167" spans="2:18" ht="14.1" customHeight="1">
      <c r="B167" s="2"/>
      <c r="C167" s="2"/>
      <c r="D167" s="2"/>
      <c r="E167" s="2"/>
      <c r="F167" s="2"/>
      <c r="G167" s="2"/>
      <c r="H167" s="2"/>
      <c r="I167" s="2"/>
      <c r="J167" s="2"/>
      <c r="K167" s="2"/>
      <c r="L167" s="2"/>
      <c r="M167" s="2"/>
      <c r="N167" s="2"/>
      <c r="O167" s="2"/>
      <c r="P167" s="2"/>
      <c r="Q167" s="2"/>
      <c r="R167" s="3"/>
    </row>
    <row r="168" spans="2:18" ht="14.1" customHeight="1">
      <c r="B168" s="2"/>
      <c r="C168" s="2"/>
      <c r="D168" s="2"/>
      <c r="E168" s="2"/>
      <c r="F168" s="2"/>
      <c r="G168" s="2"/>
      <c r="H168" s="2"/>
      <c r="I168" s="2"/>
      <c r="J168" s="2"/>
      <c r="K168" s="2"/>
      <c r="L168" s="2"/>
      <c r="M168" s="2"/>
      <c r="N168" s="2"/>
      <c r="O168" s="2"/>
      <c r="P168" s="2"/>
      <c r="Q168" s="2"/>
      <c r="R168" s="3"/>
    </row>
    <row r="169" spans="2:18" ht="14.1" customHeight="1">
      <c r="B169" s="2"/>
      <c r="C169" s="2"/>
      <c r="D169" s="2"/>
      <c r="E169" s="2"/>
      <c r="F169" s="2"/>
      <c r="G169" s="2"/>
      <c r="H169" s="2"/>
      <c r="I169" s="2"/>
      <c r="J169" s="2"/>
      <c r="K169" s="2"/>
      <c r="L169" s="2"/>
      <c r="M169" s="2"/>
      <c r="N169" s="2"/>
      <c r="O169" s="2"/>
      <c r="P169" s="2"/>
      <c r="Q169" s="2"/>
      <c r="R169" s="3"/>
    </row>
    <row r="170" spans="2:18" ht="14.1" customHeight="1">
      <c r="B170" s="2"/>
      <c r="C170" s="2"/>
      <c r="D170" s="2"/>
      <c r="E170" s="2"/>
      <c r="F170" s="2"/>
      <c r="G170" s="2"/>
      <c r="H170" s="2"/>
      <c r="I170" s="2"/>
      <c r="J170" s="2"/>
      <c r="K170" s="2"/>
      <c r="L170" s="2"/>
      <c r="M170" s="2"/>
      <c r="N170" s="2"/>
      <c r="O170" s="2"/>
      <c r="P170" s="2"/>
      <c r="Q170" s="2"/>
      <c r="R170" s="3"/>
    </row>
    <row r="171" spans="2:18" ht="14.1" customHeight="1">
      <c r="B171" s="2"/>
      <c r="C171" s="2"/>
      <c r="D171" s="2"/>
      <c r="E171" s="2"/>
      <c r="F171" s="2"/>
      <c r="G171" s="2"/>
      <c r="H171" s="2"/>
      <c r="I171" s="2"/>
      <c r="J171" s="2"/>
      <c r="K171" s="2"/>
      <c r="L171" s="2"/>
      <c r="M171" s="2"/>
      <c r="N171" s="2"/>
      <c r="O171" s="2"/>
      <c r="P171" s="2"/>
      <c r="Q171" s="2"/>
      <c r="R171" s="21"/>
    </row>
    <row r="172" spans="2:18" ht="14.1" customHeight="1">
      <c r="B172" s="2"/>
      <c r="C172" s="2"/>
      <c r="D172" s="2"/>
      <c r="E172" s="2"/>
      <c r="F172" s="2"/>
      <c r="G172" s="2"/>
      <c r="H172" s="2"/>
      <c r="I172" s="2"/>
      <c r="J172" s="2"/>
      <c r="K172" s="2"/>
      <c r="L172" s="2"/>
      <c r="M172" s="2"/>
      <c r="N172" s="2"/>
      <c r="O172" s="2"/>
      <c r="P172" s="2"/>
      <c r="Q172" s="2"/>
    </row>
    <row r="173" spans="2:18" ht="14.1" customHeight="1">
      <c r="B173" s="2"/>
      <c r="C173" s="2"/>
      <c r="D173" s="2"/>
      <c r="E173" s="2"/>
      <c r="F173" s="2"/>
      <c r="G173" s="2"/>
      <c r="H173" s="2"/>
      <c r="I173" s="2"/>
      <c r="J173" s="2"/>
      <c r="K173" s="2"/>
      <c r="L173" s="2"/>
      <c r="M173" s="2"/>
      <c r="N173" s="2"/>
      <c r="O173" s="2"/>
      <c r="P173" s="2"/>
      <c r="Q173" s="2"/>
    </row>
    <row r="174" spans="2:18" ht="14.1" customHeight="1">
      <c r="B174" s="2"/>
      <c r="C174" s="2"/>
      <c r="D174" s="2"/>
      <c r="E174" s="2"/>
      <c r="F174" s="2"/>
      <c r="G174" s="2"/>
      <c r="H174" s="2"/>
      <c r="I174" s="2"/>
      <c r="J174" s="2"/>
      <c r="K174" s="2"/>
      <c r="L174" s="2"/>
      <c r="M174" s="2"/>
      <c r="N174" s="2"/>
      <c r="O174" s="2"/>
      <c r="P174" s="2"/>
      <c r="Q174" s="2"/>
    </row>
    <row r="175" spans="2:18" ht="14.1" customHeight="1">
      <c r="B175" s="2"/>
      <c r="C175" s="2"/>
      <c r="D175" s="2"/>
      <c r="E175" s="2"/>
      <c r="F175" s="2"/>
      <c r="G175" s="2"/>
      <c r="H175" s="2"/>
      <c r="I175" s="2"/>
      <c r="J175" s="2"/>
      <c r="K175" s="2"/>
      <c r="L175" s="2"/>
      <c r="M175" s="2"/>
      <c r="N175" s="2"/>
      <c r="O175" s="2"/>
      <c r="P175" s="2"/>
      <c r="Q175" s="2"/>
    </row>
    <row r="176" spans="2:18" ht="14.1" customHeight="1">
      <c r="B176" s="2"/>
      <c r="C176" s="2"/>
      <c r="D176" s="2"/>
      <c r="E176" s="2"/>
      <c r="F176" s="2"/>
      <c r="G176" s="2"/>
      <c r="H176" s="2"/>
      <c r="I176" s="2"/>
      <c r="J176" s="2"/>
      <c r="K176" s="2"/>
      <c r="L176" s="2"/>
      <c r="M176" s="2"/>
      <c r="N176" s="2"/>
      <c r="O176" s="2"/>
      <c r="P176" s="2"/>
      <c r="Q176" s="2"/>
    </row>
    <row r="177" spans="2:17" ht="14.1" customHeight="1">
      <c r="B177" s="2"/>
      <c r="C177" s="2"/>
      <c r="D177" s="2"/>
      <c r="E177" s="2"/>
      <c r="F177" s="2"/>
      <c r="G177" s="2"/>
      <c r="H177" s="2"/>
      <c r="I177" s="2"/>
      <c r="J177" s="2"/>
      <c r="K177" s="2"/>
      <c r="L177" s="2"/>
      <c r="M177" s="2"/>
      <c r="N177" s="2"/>
      <c r="O177" s="2"/>
      <c r="P177" s="2"/>
      <c r="Q177" s="2"/>
    </row>
    <row r="178" spans="2:17" ht="14.1" customHeight="1">
      <c r="B178" s="2"/>
      <c r="C178" s="2"/>
      <c r="D178" s="2"/>
      <c r="E178" s="2"/>
      <c r="F178" s="2"/>
      <c r="G178" s="2"/>
      <c r="H178" s="2"/>
      <c r="I178" s="2"/>
      <c r="J178" s="2"/>
      <c r="K178" s="2"/>
      <c r="L178" s="2"/>
      <c r="M178" s="2"/>
      <c r="N178" s="2"/>
      <c r="O178" s="2"/>
      <c r="P178" s="2"/>
      <c r="Q178" s="2"/>
    </row>
    <row r="179" spans="2:17" ht="14.1" customHeight="1">
      <c r="B179" s="2"/>
      <c r="C179" s="2"/>
      <c r="D179" s="2"/>
      <c r="E179" s="2"/>
      <c r="F179" s="2"/>
      <c r="G179" s="2"/>
      <c r="H179" s="2"/>
      <c r="I179" s="2"/>
      <c r="J179" s="2"/>
      <c r="K179" s="2"/>
      <c r="L179" s="2"/>
      <c r="M179" s="2"/>
      <c r="N179" s="2"/>
      <c r="O179" s="2"/>
      <c r="P179" s="2"/>
      <c r="Q179" s="2"/>
    </row>
    <row r="180" spans="2:17" ht="14.1" customHeight="1">
      <c r="B180" s="2"/>
      <c r="C180" s="2"/>
      <c r="D180" s="2"/>
      <c r="E180" s="2"/>
      <c r="F180" s="2"/>
      <c r="G180" s="2"/>
      <c r="H180" s="2"/>
      <c r="I180" s="2"/>
      <c r="J180" s="2"/>
      <c r="K180" s="2"/>
      <c r="L180" s="2"/>
      <c r="M180" s="2"/>
      <c r="N180" s="2"/>
      <c r="O180" s="2"/>
      <c r="P180" s="2"/>
      <c r="Q180" s="2"/>
    </row>
    <row r="181" spans="2:17" ht="14.1" customHeight="1">
      <c r="B181" s="3"/>
      <c r="C181" s="3"/>
      <c r="D181" s="3"/>
      <c r="E181" s="3"/>
      <c r="F181" s="3"/>
      <c r="G181" s="3"/>
      <c r="H181" s="3"/>
      <c r="I181" s="3"/>
      <c r="J181" s="3"/>
      <c r="K181" s="3"/>
      <c r="L181" s="3"/>
      <c r="M181" s="3"/>
      <c r="N181" s="3"/>
      <c r="O181" s="3"/>
      <c r="P181" s="3"/>
      <c r="Q181" s="3"/>
    </row>
  </sheetData>
  <sheetProtection sheet="1" objects="1" scenarios="1" selectLockedCells="1"/>
  <mergeCells count="14">
    <mergeCell ref="C76:O76"/>
    <mergeCell ref="C77:O77"/>
    <mergeCell ref="C78:O78"/>
    <mergeCell ref="C79:O79"/>
    <mergeCell ref="C80:O80"/>
    <mergeCell ref="C66:G66"/>
    <mergeCell ref="C6:O6"/>
    <mergeCell ref="I7:J8"/>
    <mergeCell ref="N39:O39"/>
    <mergeCell ref="I53:J54"/>
    <mergeCell ref="I26:J27"/>
    <mergeCell ref="I44:J45"/>
    <mergeCell ref="C22:D22"/>
    <mergeCell ref="N37:O38"/>
  </mergeCells>
  <phoneticPr fontId="23" type="noConversion"/>
  <pageMargins left="0.78740157480314965" right="0.78740157480314965" top="0.59055118110236227" bottom="0.59055118110236227" header="0.51181102362204722" footer="0.31496062992125984"/>
  <pageSetup paperSize="9" scale="61" orientation="portrait" r:id="rId1"/>
  <headerFooter alignWithMargins="0">
    <oddFooter>&amp;L©AGRIDEA&amp;R04.2022</oddFooter>
  </headerFooter>
  <rowBreaks count="1" manualBreakCount="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T77"/>
  <sheetViews>
    <sheetView showGridLines="0" showRowColHeaders="0" showZeros="0" zoomScaleNormal="100" workbookViewId="0">
      <selection activeCell="D7" sqref="D7:G7"/>
    </sheetView>
  </sheetViews>
  <sheetFormatPr baseColWidth="10" defaultColWidth="11.42578125" defaultRowHeight="14.1" customHeight="1"/>
  <cols>
    <col min="1" max="1" width="0.85546875" style="184" customWidth="1"/>
    <col min="2" max="2" width="1.5703125" style="184" customWidth="1"/>
    <col min="3" max="3" width="10.5703125" style="184" customWidth="1"/>
    <col min="4" max="4" width="7.5703125" style="184" customWidth="1"/>
    <col min="5" max="5" width="11" style="184" customWidth="1"/>
    <col min="6" max="6" width="10.5703125" style="184" customWidth="1"/>
    <col min="7" max="7" width="11.5703125" style="184" customWidth="1"/>
    <col min="8" max="8" width="7.5703125" style="184" customWidth="1"/>
    <col min="9" max="9" width="10.5703125" style="184" customWidth="1"/>
    <col min="10" max="10" width="4.5703125" style="184" customWidth="1"/>
    <col min="11" max="11" width="10.5703125" style="184" customWidth="1"/>
    <col min="12" max="12" width="3.42578125" style="184" customWidth="1"/>
    <col min="13" max="13" width="10.42578125" style="184" customWidth="1"/>
    <col min="14" max="14" width="3.5703125" style="184" customWidth="1"/>
    <col min="15" max="15" width="11.5703125" style="184" customWidth="1"/>
    <col min="16" max="16" width="2.42578125" style="184" customWidth="1"/>
    <col min="17" max="17" width="14.42578125" style="184" customWidth="1"/>
    <col min="18" max="16384" width="11.42578125" style="184"/>
  </cols>
  <sheetData>
    <row r="1" spans="2:20" ht="42" customHeight="1">
      <c r="F1" s="183" t="str">
        <f>Texte!A73</f>
        <v>Calcul des paiements directs à partir de 2023</v>
      </c>
      <c r="P1" s="182"/>
      <c r="Q1" s="1" t="str">
        <f>Texte!A210</f>
        <v>Paiements directs 4</v>
      </c>
      <c r="R1" s="2"/>
      <c r="S1" s="2"/>
      <c r="T1" s="3"/>
    </row>
    <row r="2" spans="2:20" s="21" customFormat="1" ht="11.1" customHeight="1" thickBot="1">
      <c r="B2" s="185"/>
      <c r="C2" s="185"/>
      <c r="D2" s="185"/>
      <c r="E2" s="185"/>
      <c r="F2" s="185"/>
      <c r="G2" s="185"/>
      <c r="H2" s="185"/>
      <c r="I2" s="185"/>
      <c r="J2" s="185"/>
      <c r="K2" s="185"/>
      <c r="L2" s="185"/>
      <c r="M2" s="185"/>
      <c r="N2" s="185"/>
      <c r="O2" s="185"/>
      <c r="P2" s="185"/>
      <c r="Q2" s="4"/>
      <c r="R2" s="2"/>
      <c r="S2" s="2"/>
      <c r="T2" s="3"/>
    </row>
    <row r="3" spans="2:20" s="181" customFormat="1" ht="21.95" customHeight="1">
      <c r="B3" s="176" t="str">
        <f>Texte!A178</f>
        <v>Exploitation:</v>
      </c>
      <c r="C3" s="177"/>
      <c r="D3" s="169">
        <f>'Paysage cultivé'!D3</f>
        <v>0</v>
      </c>
      <c r="E3" s="170"/>
      <c r="F3" s="170"/>
      <c r="G3" s="178"/>
      <c r="H3" s="179"/>
      <c r="I3" s="179"/>
      <c r="K3" s="180"/>
      <c r="L3" s="173" t="str">
        <f>Texte!A294</f>
        <v>Variante:</v>
      </c>
      <c r="M3" s="171">
        <f>'Paysage cultivé'!K3</f>
        <v>0</v>
      </c>
      <c r="N3" s="172"/>
      <c r="O3" s="180"/>
      <c r="P3" s="173" t="str">
        <f>Texte!A53</f>
        <v>Année:</v>
      </c>
      <c r="Q3" s="174">
        <f>'Paysage cultivé'!O3</f>
        <v>0</v>
      </c>
      <c r="R3" s="180"/>
      <c r="S3" s="180"/>
      <c r="T3" s="177"/>
    </row>
    <row r="4" spans="2:20" ht="12.75" customHeight="1">
      <c r="B4" s="2"/>
      <c r="C4" s="2"/>
      <c r="D4" s="2"/>
      <c r="E4" s="2"/>
      <c r="F4" s="2"/>
      <c r="G4" s="2"/>
      <c r="H4" s="2"/>
      <c r="I4" s="2"/>
      <c r="J4" s="2"/>
      <c r="K4" s="2"/>
      <c r="L4" s="2"/>
      <c r="M4" s="2"/>
      <c r="N4" s="2"/>
      <c r="O4" s="2"/>
      <c r="P4" s="2"/>
      <c r="Q4" s="2"/>
      <c r="R4" s="2"/>
      <c r="S4" s="2"/>
      <c r="T4" s="3"/>
    </row>
    <row r="5" spans="2:20" ht="39.950000000000003" customHeight="1">
      <c r="B5" s="689" t="str">
        <f>Texte!A104</f>
        <v>Contribution à la qualité du paysage (CQP, Art. 63 et 64 et Annexe 7 OPD)</v>
      </c>
      <c r="C5" s="689"/>
      <c r="D5" s="689"/>
      <c r="E5" s="689"/>
      <c r="F5" s="689"/>
      <c r="G5" s="689"/>
      <c r="H5" s="689"/>
      <c r="I5" s="689"/>
      <c r="J5" s="689"/>
      <c r="K5" s="2"/>
      <c r="L5" s="2"/>
      <c r="M5" s="2"/>
      <c r="N5" s="2"/>
      <c r="O5" s="2"/>
      <c r="P5" s="2"/>
      <c r="Q5" s="258" t="str">
        <f>Texte!A369</f>
        <v>Condition: projet collectif</v>
      </c>
      <c r="R5" s="7"/>
      <c r="S5" s="7"/>
      <c r="T5" s="3"/>
    </row>
    <row r="6" spans="2:20" ht="17.100000000000001" customHeight="1">
      <c r="B6" s="125"/>
      <c r="C6" s="61"/>
      <c r="D6" s="259" t="str">
        <f>Texte!A370</f>
        <v>Désignation</v>
      </c>
      <c r="E6" s="259"/>
      <c r="F6" s="259"/>
      <c r="G6" s="259"/>
      <c r="H6" s="61"/>
      <c r="I6" s="198" t="str">
        <f>Texte!A192</f>
        <v>Montant Fr./unité</v>
      </c>
      <c r="J6" s="65"/>
      <c r="K6" s="198" t="str">
        <f>Texte!A371</f>
        <v>Nombre d'unités*</v>
      </c>
      <c r="L6" s="65"/>
      <c r="M6" s="65" t="str">
        <f>Texte!A346</f>
        <v>Sous-total (Fr.)</v>
      </c>
      <c r="N6" s="198"/>
      <c r="O6" s="65"/>
      <c r="P6" s="61"/>
      <c r="Q6" s="199" t="str">
        <f>Texte!A282</f>
        <v>Total (Fr.)</v>
      </c>
      <c r="R6" s="7"/>
      <c r="S6" s="7"/>
      <c r="T6" s="3"/>
    </row>
    <row r="7" spans="2:20" ht="17.100000000000001" customHeight="1">
      <c r="B7" s="12"/>
      <c r="C7" s="17" t="str">
        <f>Texte!A360</f>
        <v>Mesure:</v>
      </c>
      <c r="D7" s="690"/>
      <c r="E7" s="690"/>
      <c r="F7" s="690"/>
      <c r="G7" s="690"/>
      <c r="H7" s="54"/>
      <c r="I7" s="167"/>
      <c r="J7" s="23" t="s">
        <v>140</v>
      </c>
      <c r="K7" s="139"/>
      <c r="L7" s="23" t="s">
        <v>141</v>
      </c>
      <c r="M7" s="39">
        <f>I7*K7</f>
        <v>0</v>
      </c>
      <c r="N7" s="40"/>
      <c r="O7" s="40"/>
      <c r="P7" s="23"/>
      <c r="Q7" s="72"/>
      <c r="R7" s="11"/>
      <c r="T7" s="3"/>
    </row>
    <row r="8" spans="2:20" ht="17.100000000000001" customHeight="1">
      <c r="B8" s="12"/>
      <c r="C8" s="17" t="str">
        <f>Texte!A360</f>
        <v>Mesure:</v>
      </c>
      <c r="D8" s="690"/>
      <c r="E8" s="690"/>
      <c r="F8" s="690"/>
      <c r="G8" s="690"/>
      <c r="H8" s="54"/>
      <c r="I8" s="167"/>
      <c r="J8" s="23" t="s">
        <v>140</v>
      </c>
      <c r="K8" s="139"/>
      <c r="L8" s="23" t="s">
        <v>141</v>
      </c>
      <c r="M8" s="39">
        <f t="shared" ref="M8:M21" si="0">I8*K8</f>
        <v>0</v>
      </c>
      <c r="N8" s="40"/>
      <c r="O8" s="40"/>
      <c r="P8" s="23"/>
      <c r="Q8" s="72"/>
      <c r="R8" s="11"/>
      <c r="T8" s="3"/>
    </row>
    <row r="9" spans="2:20" ht="17.100000000000001" customHeight="1">
      <c r="B9" s="12"/>
      <c r="C9" s="17" t="str">
        <f>Texte!A360</f>
        <v>Mesure:</v>
      </c>
      <c r="D9" s="690"/>
      <c r="E9" s="690"/>
      <c r="F9" s="690"/>
      <c r="G9" s="690"/>
      <c r="H9" s="54"/>
      <c r="I9" s="167"/>
      <c r="J9" s="23" t="s">
        <v>140</v>
      </c>
      <c r="K9" s="139"/>
      <c r="L9" s="23" t="s">
        <v>141</v>
      </c>
      <c r="M9" s="39">
        <f t="shared" si="0"/>
        <v>0</v>
      </c>
      <c r="N9" s="40"/>
      <c r="O9" s="40"/>
      <c r="P9" s="23"/>
      <c r="Q9" s="72"/>
      <c r="R9" s="11"/>
      <c r="T9" s="3"/>
    </row>
    <row r="10" spans="2:20" ht="17.100000000000001" customHeight="1">
      <c r="B10" s="12"/>
      <c r="C10" s="17" t="str">
        <f>Texte!A360</f>
        <v>Mesure:</v>
      </c>
      <c r="D10" s="690"/>
      <c r="E10" s="690"/>
      <c r="F10" s="690"/>
      <c r="G10" s="690"/>
      <c r="H10" s="54"/>
      <c r="I10" s="167"/>
      <c r="J10" s="23" t="s">
        <v>140</v>
      </c>
      <c r="K10" s="139"/>
      <c r="L10" s="23" t="s">
        <v>141</v>
      </c>
      <c r="M10" s="39">
        <f t="shared" si="0"/>
        <v>0</v>
      </c>
      <c r="N10" s="40"/>
      <c r="O10" s="40"/>
      <c r="P10" s="23"/>
      <c r="Q10" s="72"/>
      <c r="R10" s="11"/>
      <c r="T10" s="3"/>
    </row>
    <row r="11" spans="2:20" ht="17.100000000000001" customHeight="1">
      <c r="B11" s="12"/>
      <c r="C11" s="17" t="str">
        <f>Texte!A360</f>
        <v>Mesure:</v>
      </c>
      <c r="D11" s="690"/>
      <c r="E11" s="690"/>
      <c r="F11" s="690"/>
      <c r="G11" s="690"/>
      <c r="H11" s="54"/>
      <c r="I11" s="167"/>
      <c r="J11" s="23" t="s">
        <v>140</v>
      </c>
      <c r="K11" s="139"/>
      <c r="L11" s="23" t="s">
        <v>141</v>
      </c>
      <c r="M11" s="39">
        <f t="shared" si="0"/>
        <v>0</v>
      </c>
      <c r="N11" s="40"/>
      <c r="O11" s="40"/>
      <c r="P11" s="23"/>
      <c r="Q11" s="72"/>
      <c r="R11" s="11"/>
      <c r="T11" s="3"/>
    </row>
    <row r="12" spans="2:20" ht="17.100000000000001" customHeight="1">
      <c r="B12" s="12"/>
      <c r="C12" s="17" t="str">
        <f>Texte!A360</f>
        <v>Mesure:</v>
      </c>
      <c r="D12" s="690"/>
      <c r="E12" s="690"/>
      <c r="F12" s="690"/>
      <c r="G12" s="690"/>
      <c r="H12" s="54"/>
      <c r="I12" s="167"/>
      <c r="J12" s="23" t="s">
        <v>140</v>
      </c>
      <c r="K12" s="139"/>
      <c r="L12" s="23" t="s">
        <v>141</v>
      </c>
      <c r="M12" s="39">
        <f t="shared" si="0"/>
        <v>0</v>
      </c>
      <c r="N12" s="40"/>
      <c r="O12" s="40"/>
      <c r="P12" s="23"/>
      <c r="Q12" s="72"/>
      <c r="R12" s="11"/>
      <c r="T12" s="3"/>
    </row>
    <row r="13" spans="2:20" ht="17.100000000000001" customHeight="1">
      <c r="B13" s="12"/>
      <c r="C13" s="17" t="str">
        <f>Texte!A360</f>
        <v>Mesure:</v>
      </c>
      <c r="D13" s="690"/>
      <c r="E13" s="690"/>
      <c r="F13" s="690"/>
      <c r="G13" s="690"/>
      <c r="H13" s="54"/>
      <c r="I13" s="167"/>
      <c r="J13" s="23" t="s">
        <v>140</v>
      </c>
      <c r="K13" s="139"/>
      <c r="L13" s="23" t="s">
        <v>141</v>
      </c>
      <c r="M13" s="39">
        <f t="shared" si="0"/>
        <v>0</v>
      </c>
      <c r="N13" s="40"/>
      <c r="O13" s="40"/>
      <c r="P13" s="23"/>
      <c r="Q13" s="72"/>
      <c r="R13" s="11"/>
      <c r="T13" s="3"/>
    </row>
    <row r="14" spans="2:20" ht="17.100000000000001" customHeight="1">
      <c r="B14" s="12"/>
      <c r="C14" s="17" t="str">
        <f>Texte!A360</f>
        <v>Mesure:</v>
      </c>
      <c r="D14" s="690"/>
      <c r="E14" s="690"/>
      <c r="F14" s="690"/>
      <c r="G14" s="690"/>
      <c r="H14" s="54"/>
      <c r="I14" s="167"/>
      <c r="J14" s="23" t="s">
        <v>140</v>
      </c>
      <c r="K14" s="139"/>
      <c r="L14" s="23" t="s">
        <v>141</v>
      </c>
      <c r="M14" s="39">
        <f t="shared" si="0"/>
        <v>0</v>
      </c>
      <c r="N14" s="40"/>
      <c r="O14" s="40"/>
      <c r="P14" s="23"/>
      <c r="Q14" s="72"/>
      <c r="R14" s="11"/>
      <c r="T14" s="3"/>
    </row>
    <row r="15" spans="2:20" ht="17.100000000000001" customHeight="1">
      <c r="B15" s="12"/>
      <c r="C15" s="17" t="str">
        <f>Texte!A360</f>
        <v>Mesure:</v>
      </c>
      <c r="D15" s="690"/>
      <c r="E15" s="690"/>
      <c r="F15" s="690"/>
      <c r="G15" s="690"/>
      <c r="H15" s="54"/>
      <c r="I15" s="167"/>
      <c r="J15" s="23" t="s">
        <v>140</v>
      </c>
      <c r="K15" s="139"/>
      <c r="L15" s="23" t="s">
        <v>141</v>
      </c>
      <c r="M15" s="39">
        <f t="shared" si="0"/>
        <v>0</v>
      </c>
      <c r="N15" s="40"/>
      <c r="O15" s="40"/>
      <c r="P15" s="23"/>
      <c r="Q15" s="72"/>
      <c r="R15" s="11"/>
      <c r="T15" s="3"/>
    </row>
    <row r="16" spans="2:20" ht="17.100000000000001" customHeight="1">
      <c r="B16" s="12"/>
      <c r="C16" s="17" t="str">
        <f>Texte!A360</f>
        <v>Mesure:</v>
      </c>
      <c r="D16" s="690"/>
      <c r="E16" s="690"/>
      <c r="F16" s="690"/>
      <c r="G16" s="690"/>
      <c r="H16" s="54"/>
      <c r="I16" s="167"/>
      <c r="J16" s="23" t="s">
        <v>140</v>
      </c>
      <c r="K16" s="139"/>
      <c r="L16" s="23" t="s">
        <v>141</v>
      </c>
      <c r="M16" s="39">
        <f t="shared" si="0"/>
        <v>0</v>
      </c>
      <c r="N16" s="40"/>
      <c r="O16" s="40"/>
      <c r="P16" s="23"/>
      <c r="Q16" s="72"/>
      <c r="R16" s="11"/>
      <c r="T16" s="3"/>
    </row>
    <row r="17" spans="2:20" ht="17.100000000000001" customHeight="1">
      <c r="B17" s="12"/>
      <c r="C17" s="17" t="str">
        <f>Texte!A360</f>
        <v>Mesure:</v>
      </c>
      <c r="D17" s="690"/>
      <c r="E17" s="690"/>
      <c r="F17" s="690"/>
      <c r="G17" s="690"/>
      <c r="H17" s="54"/>
      <c r="I17" s="167"/>
      <c r="J17" s="23" t="s">
        <v>140</v>
      </c>
      <c r="K17" s="139"/>
      <c r="L17" s="23" t="s">
        <v>141</v>
      </c>
      <c r="M17" s="39">
        <f t="shared" si="0"/>
        <v>0</v>
      </c>
      <c r="N17" s="40"/>
      <c r="O17" s="40"/>
      <c r="P17" s="23"/>
      <c r="Q17" s="72"/>
      <c r="R17" s="11"/>
      <c r="T17" s="3"/>
    </row>
    <row r="18" spans="2:20" ht="17.100000000000001" customHeight="1">
      <c r="B18" s="12"/>
      <c r="C18" s="17" t="str">
        <f>Texte!A360</f>
        <v>Mesure:</v>
      </c>
      <c r="D18" s="690"/>
      <c r="E18" s="690"/>
      <c r="F18" s="690"/>
      <c r="G18" s="690"/>
      <c r="H18" s="54"/>
      <c r="I18" s="167"/>
      <c r="J18" s="23" t="s">
        <v>140</v>
      </c>
      <c r="K18" s="139"/>
      <c r="L18" s="23" t="s">
        <v>141</v>
      </c>
      <c r="M18" s="39">
        <f t="shared" si="0"/>
        <v>0</v>
      </c>
      <c r="N18" s="40"/>
      <c r="O18" s="40"/>
      <c r="P18" s="23"/>
      <c r="Q18" s="72"/>
      <c r="R18" s="11"/>
      <c r="T18" s="3"/>
    </row>
    <row r="19" spans="2:20" ht="17.100000000000001" customHeight="1">
      <c r="B19" s="12"/>
      <c r="C19" s="17" t="str">
        <f>Texte!A360</f>
        <v>Mesure:</v>
      </c>
      <c r="D19" s="690"/>
      <c r="E19" s="690"/>
      <c r="F19" s="690"/>
      <c r="G19" s="690"/>
      <c r="H19" s="54"/>
      <c r="I19" s="167"/>
      <c r="J19" s="23" t="s">
        <v>140</v>
      </c>
      <c r="K19" s="139"/>
      <c r="L19" s="23" t="s">
        <v>141</v>
      </c>
      <c r="M19" s="39">
        <f t="shared" si="0"/>
        <v>0</v>
      </c>
      <c r="N19" s="40"/>
      <c r="O19" s="40"/>
      <c r="P19" s="23"/>
      <c r="Q19" s="72"/>
      <c r="R19" s="11"/>
      <c r="T19" s="3"/>
    </row>
    <row r="20" spans="2:20" ht="17.100000000000001" customHeight="1">
      <c r="B20" s="12"/>
      <c r="C20" s="17" t="str">
        <f>Texte!A360</f>
        <v>Mesure:</v>
      </c>
      <c r="D20" s="690"/>
      <c r="E20" s="690"/>
      <c r="F20" s="690"/>
      <c r="G20" s="690"/>
      <c r="H20" s="54"/>
      <c r="I20" s="167"/>
      <c r="J20" s="23" t="s">
        <v>140</v>
      </c>
      <c r="K20" s="139"/>
      <c r="L20" s="23" t="s">
        <v>141</v>
      </c>
      <c r="M20" s="39">
        <f t="shared" si="0"/>
        <v>0</v>
      </c>
      <c r="N20" s="40"/>
      <c r="O20" s="40"/>
      <c r="P20" s="23"/>
      <c r="Q20" s="72"/>
      <c r="R20" s="11"/>
      <c r="T20" s="3"/>
    </row>
    <row r="21" spans="2:20" ht="17.100000000000001" customHeight="1">
      <c r="B21" s="12"/>
      <c r="C21" s="17" t="str">
        <f>Texte!A360</f>
        <v>Mesure:</v>
      </c>
      <c r="D21" s="690"/>
      <c r="E21" s="690"/>
      <c r="F21" s="690"/>
      <c r="G21" s="690"/>
      <c r="H21" s="54"/>
      <c r="I21" s="167"/>
      <c r="J21" s="23" t="s">
        <v>140</v>
      </c>
      <c r="K21" s="139"/>
      <c r="L21" s="23" t="s">
        <v>141</v>
      </c>
      <c r="M21" s="39">
        <f t="shared" si="0"/>
        <v>0</v>
      </c>
      <c r="N21" s="40"/>
      <c r="O21" s="40"/>
      <c r="P21" s="23"/>
      <c r="Q21" s="72"/>
      <c r="R21" s="11"/>
      <c r="T21" s="3"/>
    </row>
    <row r="22" spans="2:20" ht="6" customHeight="1">
      <c r="B22" s="12"/>
      <c r="C22" s="17"/>
      <c r="D22" s="17"/>
      <c r="E22" s="17"/>
      <c r="F22" s="17"/>
      <c r="G22" s="17"/>
      <c r="H22" s="54"/>
      <c r="I22" s="50"/>
      <c r="J22" s="17"/>
      <c r="K22" s="47"/>
      <c r="L22" s="23"/>
      <c r="M22" s="40"/>
      <c r="N22" s="40"/>
      <c r="O22" s="40"/>
      <c r="P22" s="23"/>
      <c r="Q22" s="72"/>
      <c r="R22" s="11"/>
      <c r="T22" s="3"/>
    </row>
    <row r="23" spans="2:20" ht="17.100000000000001" customHeight="1">
      <c r="B23" s="12"/>
      <c r="C23" s="17"/>
      <c r="D23" s="17" t="str">
        <f>Texte!A372</f>
        <v>* ha, PN selon charge usuelle, unités, mètres linéaires, exploitation</v>
      </c>
      <c r="E23" s="17"/>
      <c r="F23" s="17"/>
      <c r="G23" s="17"/>
      <c r="H23" s="54"/>
      <c r="I23" s="50"/>
      <c r="J23" s="17"/>
      <c r="K23" s="47"/>
      <c r="L23" s="23"/>
      <c r="M23" s="40"/>
      <c r="N23" s="40"/>
      <c r="O23" s="40"/>
      <c r="P23" s="23"/>
      <c r="Q23" s="72"/>
      <c r="R23" s="11"/>
      <c r="T23" s="3"/>
    </row>
    <row r="24" spans="2:20" ht="12.6" customHeight="1">
      <c r="B24" s="12"/>
      <c r="C24" s="47"/>
      <c r="D24" s="54"/>
      <c r="E24" s="47"/>
      <c r="F24" s="54"/>
      <c r="G24" s="47"/>
      <c r="H24" s="11"/>
      <c r="I24" s="47"/>
      <c r="J24" s="11"/>
      <c r="K24" s="47"/>
      <c r="L24" s="17"/>
      <c r="M24" s="150"/>
      <c r="N24" s="50"/>
      <c r="O24" s="50"/>
      <c r="P24" s="23"/>
      <c r="Q24" s="187"/>
      <c r="R24" s="11"/>
      <c r="T24" s="3"/>
    </row>
    <row r="25" spans="2:20" ht="17.100000000000001" customHeight="1">
      <c r="B25" s="135"/>
      <c r="C25" s="53" t="str">
        <f>Texte!A278</f>
        <v>Total contribution à la qualité du paysage</v>
      </c>
      <c r="D25" s="51"/>
      <c r="E25" s="51"/>
      <c r="F25" s="51"/>
      <c r="G25" s="47"/>
      <c r="H25" s="51"/>
      <c r="I25" s="134"/>
      <c r="J25" s="113"/>
      <c r="K25" s="115"/>
      <c r="L25" s="17"/>
      <c r="M25" s="115"/>
      <c r="N25" s="115"/>
      <c r="O25" s="63"/>
      <c r="P25" s="23" t="s">
        <v>141</v>
      </c>
      <c r="Q25" s="191">
        <f>SUM(M7:M21)</f>
        <v>0</v>
      </c>
      <c r="R25" s="11"/>
      <c r="T25" s="3"/>
    </row>
    <row r="26" spans="2:20" s="186" customFormat="1" ht="6" customHeight="1">
      <c r="B26" s="124"/>
      <c r="C26" s="75"/>
      <c r="D26" s="75"/>
      <c r="E26" s="75"/>
      <c r="F26" s="75"/>
      <c r="G26" s="75"/>
      <c r="H26" s="30"/>
      <c r="I26" s="30"/>
      <c r="J26" s="30"/>
      <c r="K26" s="75"/>
      <c r="L26" s="75"/>
      <c r="M26" s="75"/>
      <c r="N26" s="75"/>
      <c r="O26" s="75"/>
      <c r="P26" s="75"/>
      <c r="Q26" s="149"/>
      <c r="R26" s="15"/>
      <c r="S26" s="15"/>
      <c r="T26" s="16"/>
    </row>
    <row r="27" spans="2:20" ht="3.75" customHeight="1"/>
    <row r="28" spans="2:20" s="186" customFormat="1" ht="3.75" customHeight="1">
      <c r="B28" s="2"/>
      <c r="C28" s="2"/>
      <c r="D28" s="2"/>
      <c r="E28" s="2"/>
      <c r="F28" s="2"/>
      <c r="G28" s="2"/>
      <c r="H28" s="2"/>
      <c r="I28" s="2"/>
      <c r="J28" s="2"/>
      <c r="K28" s="2"/>
      <c r="L28" s="2"/>
      <c r="M28" s="2"/>
      <c r="N28" s="2"/>
      <c r="O28" s="2"/>
      <c r="P28" s="2"/>
      <c r="Q28" s="2"/>
      <c r="R28" s="11"/>
      <c r="S28" s="11"/>
      <c r="T28" s="16"/>
    </row>
    <row r="29" spans="2:20" ht="26.25" customHeight="1">
      <c r="B29" s="2"/>
      <c r="C29" s="691" t="str">
        <f>Texte!A327</f>
        <v>Etat selon modifications d'ordonnances dans le cadre de l'initiative parlementaire 19.475 d'avril 2022. 
AGRIDEA décline toute responsabilité quant aux conséquences de l’utilisation de cet outil.                                                          Version 4.9.3</v>
      </c>
      <c r="D29" s="691"/>
      <c r="E29" s="691"/>
      <c r="F29" s="691"/>
      <c r="G29" s="691"/>
      <c r="H29" s="691"/>
      <c r="I29" s="691"/>
      <c r="J29" s="691"/>
      <c r="K29" s="691"/>
      <c r="L29" s="691"/>
      <c r="M29" s="691"/>
      <c r="N29" s="691"/>
      <c r="O29" s="691"/>
      <c r="P29" s="691"/>
      <c r="Q29" s="691"/>
      <c r="R29" s="2"/>
      <c r="S29" s="2"/>
      <c r="T29" s="3"/>
    </row>
    <row r="30" spans="2:20" ht="14.1" customHeight="1">
      <c r="B30" s="2"/>
      <c r="C30" s="2"/>
      <c r="D30" s="2"/>
      <c r="E30" s="2"/>
      <c r="F30" s="2"/>
      <c r="G30" s="2"/>
      <c r="H30" s="2"/>
      <c r="I30" s="2"/>
      <c r="J30" s="2"/>
      <c r="K30" s="2"/>
      <c r="L30" s="2"/>
      <c r="M30" s="2"/>
      <c r="N30" s="2"/>
      <c r="O30" s="2"/>
      <c r="P30" s="2"/>
      <c r="Q30" s="2"/>
      <c r="R30" s="2"/>
      <c r="S30" s="2"/>
      <c r="T30" s="3"/>
    </row>
    <row r="31" spans="2:20" ht="14.1" customHeight="1">
      <c r="B31" s="2"/>
      <c r="C31" s="2"/>
      <c r="D31" s="2"/>
      <c r="E31" s="2"/>
      <c r="F31" s="2"/>
      <c r="G31" s="2"/>
      <c r="H31" s="2"/>
      <c r="I31" s="2"/>
      <c r="J31" s="2"/>
      <c r="K31" s="2"/>
      <c r="L31" s="2"/>
      <c r="M31" s="2"/>
      <c r="N31" s="2"/>
      <c r="O31" s="2"/>
      <c r="P31" s="2"/>
      <c r="Q31" s="2"/>
      <c r="R31" s="2"/>
      <c r="S31" s="2"/>
      <c r="T31" s="3"/>
    </row>
    <row r="32" spans="2:20" ht="14.1" customHeight="1">
      <c r="B32" s="2"/>
      <c r="C32" s="2"/>
      <c r="D32" s="2"/>
      <c r="E32" s="2"/>
      <c r="F32" s="2"/>
      <c r="G32" s="2"/>
      <c r="H32" s="2"/>
      <c r="I32" s="2"/>
      <c r="J32" s="2"/>
      <c r="K32" s="2"/>
      <c r="L32" s="2"/>
      <c r="M32" s="2"/>
      <c r="N32" s="2"/>
      <c r="O32" s="2"/>
      <c r="P32" s="2"/>
      <c r="Q32" s="2"/>
      <c r="R32" s="2"/>
      <c r="S32" s="2"/>
      <c r="T32" s="3"/>
    </row>
    <row r="33" spans="2:20" ht="14.1" customHeight="1">
      <c r="B33" s="2"/>
      <c r="C33" s="2"/>
      <c r="D33" s="2"/>
      <c r="E33" s="2"/>
      <c r="F33" s="2"/>
      <c r="G33" s="2"/>
      <c r="H33" s="2"/>
      <c r="I33" s="2"/>
      <c r="J33" s="2"/>
      <c r="K33" s="2"/>
      <c r="L33" s="2"/>
      <c r="M33" s="2"/>
      <c r="N33" s="2"/>
      <c r="O33" s="2"/>
      <c r="P33" s="2"/>
      <c r="Q33" s="2"/>
      <c r="R33" s="2"/>
      <c r="S33" s="2"/>
      <c r="T33" s="3"/>
    </row>
    <row r="34" spans="2:20" ht="14.1" customHeight="1">
      <c r="B34" s="2"/>
      <c r="C34" s="2"/>
      <c r="D34" s="2"/>
      <c r="E34" s="2"/>
      <c r="F34" s="2"/>
      <c r="G34" s="2"/>
      <c r="H34" s="2"/>
      <c r="I34" s="2"/>
      <c r="J34" s="2"/>
      <c r="K34" s="2"/>
      <c r="L34" s="2"/>
      <c r="M34" s="2"/>
      <c r="N34" s="2"/>
      <c r="O34" s="2"/>
      <c r="P34" s="2"/>
      <c r="Q34" s="2"/>
      <c r="R34" s="2"/>
      <c r="S34" s="2"/>
      <c r="T34" s="3"/>
    </row>
    <row r="35" spans="2:20" ht="14.1" customHeight="1">
      <c r="B35" s="2"/>
      <c r="C35" s="2"/>
      <c r="D35" s="2"/>
      <c r="E35" s="2"/>
      <c r="F35" s="2"/>
      <c r="G35" s="2"/>
      <c r="H35" s="2"/>
      <c r="I35" s="2"/>
      <c r="J35" s="2"/>
      <c r="K35" s="2"/>
      <c r="L35" s="2"/>
      <c r="M35" s="2"/>
      <c r="N35" s="2"/>
      <c r="O35" s="2"/>
      <c r="P35" s="2"/>
      <c r="Q35" s="2"/>
      <c r="R35" s="2"/>
      <c r="S35" s="2"/>
      <c r="T35" s="3"/>
    </row>
    <row r="36" spans="2:20" ht="14.1" customHeight="1">
      <c r="B36" s="2"/>
      <c r="C36" s="2"/>
      <c r="D36" s="2"/>
      <c r="E36" s="2"/>
      <c r="F36" s="2"/>
      <c r="G36" s="2"/>
      <c r="H36" s="2"/>
      <c r="I36" s="2"/>
      <c r="J36" s="2"/>
      <c r="K36" s="2"/>
      <c r="L36" s="2"/>
      <c r="M36" s="2"/>
      <c r="N36" s="2"/>
      <c r="O36" s="2"/>
      <c r="P36" s="2"/>
      <c r="Q36" s="2"/>
      <c r="R36" s="2"/>
      <c r="S36" s="2"/>
      <c r="T36" s="3"/>
    </row>
    <row r="37" spans="2:20" ht="14.1" customHeight="1">
      <c r="B37" s="2"/>
      <c r="C37" s="2"/>
      <c r="D37" s="2"/>
      <c r="E37" s="2"/>
      <c r="F37" s="2"/>
      <c r="G37" s="2"/>
      <c r="H37" s="2"/>
      <c r="I37" s="2"/>
      <c r="J37" s="2"/>
      <c r="K37" s="2"/>
      <c r="L37" s="2"/>
      <c r="M37" s="2"/>
      <c r="N37" s="2"/>
      <c r="O37" s="2"/>
      <c r="P37" s="2"/>
      <c r="Q37" s="2"/>
      <c r="R37" s="2"/>
      <c r="S37" s="2"/>
      <c r="T37" s="3"/>
    </row>
    <row r="38" spans="2:20" ht="14.1" customHeight="1">
      <c r="B38" s="2"/>
      <c r="C38" s="2"/>
      <c r="D38" s="2"/>
      <c r="E38" s="2"/>
      <c r="F38" s="2"/>
      <c r="G38" s="2"/>
      <c r="H38" s="2"/>
      <c r="I38" s="2"/>
      <c r="J38" s="2"/>
      <c r="K38" s="2"/>
      <c r="L38" s="2"/>
      <c r="M38" s="2"/>
      <c r="N38" s="2"/>
      <c r="O38" s="2"/>
      <c r="P38" s="2"/>
      <c r="Q38" s="2"/>
      <c r="R38" s="2"/>
      <c r="S38" s="2"/>
      <c r="T38" s="3"/>
    </row>
    <row r="39" spans="2:20" ht="14.1" customHeight="1">
      <c r="B39" s="2"/>
      <c r="C39" s="2"/>
      <c r="D39" s="2"/>
      <c r="E39" s="2"/>
      <c r="F39" s="2"/>
      <c r="G39" s="2"/>
      <c r="H39" s="2"/>
      <c r="I39" s="2"/>
      <c r="J39" s="2"/>
      <c r="K39" s="2"/>
      <c r="L39" s="2"/>
      <c r="M39" s="2"/>
      <c r="N39" s="2"/>
      <c r="O39" s="2"/>
      <c r="P39" s="2"/>
      <c r="Q39" s="2"/>
      <c r="R39" s="2"/>
      <c r="S39" s="2"/>
      <c r="T39" s="3"/>
    </row>
    <row r="40" spans="2:20" ht="14.1" customHeight="1">
      <c r="B40" s="2"/>
      <c r="C40" s="2"/>
      <c r="D40" s="2"/>
      <c r="E40" s="2"/>
      <c r="F40" s="2"/>
      <c r="G40" s="2"/>
      <c r="H40" s="2"/>
      <c r="I40" s="2"/>
      <c r="J40" s="2"/>
      <c r="K40" s="2"/>
      <c r="L40" s="2"/>
      <c r="M40" s="2"/>
      <c r="N40" s="2"/>
      <c r="O40" s="2"/>
      <c r="P40" s="2"/>
      <c r="Q40" s="2"/>
      <c r="R40" s="2"/>
      <c r="S40" s="2"/>
      <c r="T40" s="3"/>
    </row>
    <row r="41" spans="2:20" ht="14.1" customHeight="1">
      <c r="B41" s="2"/>
      <c r="C41" s="2"/>
      <c r="D41" s="2"/>
      <c r="E41" s="2"/>
      <c r="F41" s="2"/>
      <c r="G41" s="2"/>
      <c r="H41" s="2"/>
      <c r="I41" s="2"/>
      <c r="J41" s="2"/>
      <c r="K41" s="2"/>
      <c r="L41" s="2"/>
      <c r="M41" s="2"/>
      <c r="N41" s="2"/>
      <c r="O41" s="2"/>
      <c r="P41" s="2"/>
      <c r="Q41" s="2"/>
      <c r="R41" s="2"/>
      <c r="S41" s="2"/>
      <c r="T41" s="3"/>
    </row>
    <row r="42" spans="2:20" ht="14.1" customHeight="1">
      <c r="B42" s="2"/>
      <c r="C42" s="2"/>
      <c r="D42" s="2"/>
      <c r="E42" s="2"/>
      <c r="F42" s="2"/>
      <c r="G42" s="2"/>
      <c r="H42" s="2"/>
      <c r="I42" s="2"/>
      <c r="J42" s="2"/>
      <c r="K42" s="2"/>
      <c r="L42" s="2"/>
      <c r="M42" s="2"/>
      <c r="N42" s="2"/>
      <c r="O42" s="2"/>
      <c r="P42" s="2"/>
      <c r="Q42" s="2"/>
      <c r="R42" s="2"/>
      <c r="S42" s="2"/>
      <c r="T42" s="3"/>
    </row>
    <row r="43" spans="2:20" ht="14.1" customHeight="1">
      <c r="B43" s="2"/>
      <c r="C43" s="2"/>
      <c r="D43" s="2"/>
      <c r="E43" s="2"/>
      <c r="F43" s="2"/>
      <c r="G43" s="2"/>
      <c r="H43" s="2"/>
      <c r="I43" s="2"/>
      <c r="J43" s="2"/>
      <c r="K43" s="2"/>
      <c r="L43" s="2"/>
      <c r="M43" s="2"/>
      <c r="N43" s="2"/>
      <c r="O43" s="2"/>
      <c r="P43" s="2"/>
      <c r="Q43" s="2"/>
      <c r="R43" s="2"/>
      <c r="S43" s="2"/>
      <c r="T43" s="3"/>
    </row>
    <row r="44" spans="2:20" ht="14.1" customHeight="1">
      <c r="B44" s="2"/>
      <c r="C44" s="2"/>
      <c r="D44" s="2"/>
      <c r="E44" s="2"/>
      <c r="F44" s="2"/>
      <c r="G44" s="2"/>
      <c r="H44" s="2"/>
      <c r="I44" s="2"/>
      <c r="J44" s="2"/>
      <c r="K44" s="2"/>
      <c r="L44" s="2"/>
      <c r="M44" s="2"/>
      <c r="N44" s="2"/>
      <c r="O44" s="2"/>
      <c r="P44" s="2"/>
      <c r="Q44" s="2"/>
      <c r="R44" s="2"/>
      <c r="S44" s="2"/>
      <c r="T44" s="3"/>
    </row>
    <row r="45" spans="2:20" ht="14.1" customHeight="1">
      <c r="B45" s="2"/>
      <c r="C45" s="2"/>
      <c r="D45" s="2"/>
      <c r="E45" s="2"/>
      <c r="F45" s="2"/>
      <c r="G45" s="2"/>
      <c r="H45" s="2"/>
      <c r="I45" s="2"/>
      <c r="J45" s="2"/>
      <c r="K45" s="2"/>
      <c r="L45" s="2"/>
      <c r="M45" s="2"/>
      <c r="N45" s="2"/>
      <c r="O45" s="2"/>
      <c r="P45" s="2"/>
      <c r="Q45" s="2"/>
      <c r="R45" s="2"/>
      <c r="S45" s="2"/>
      <c r="T45" s="3"/>
    </row>
    <row r="46" spans="2:20" ht="14.1" customHeight="1">
      <c r="B46" s="2"/>
      <c r="C46" s="2"/>
      <c r="D46" s="2"/>
      <c r="E46" s="2"/>
      <c r="F46" s="2"/>
      <c r="G46" s="2"/>
      <c r="H46" s="2"/>
      <c r="I46" s="2"/>
      <c r="J46" s="2"/>
      <c r="K46" s="2"/>
      <c r="L46" s="2"/>
      <c r="M46" s="2"/>
      <c r="N46" s="2"/>
      <c r="O46" s="2"/>
      <c r="P46" s="2"/>
      <c r="Q46" s="2"/>
      <c r="R46" s="2"/>
      <c r="S46" s="2"/>
      <c r="T46" s="3"/>
    </row>
    <row r="47" spans="2:20" ht="14.1" customHeight="1">
      <c r="B47" s="2"/>
      <c r="C47" s="2"/>
      <c r="D47" s="2"/>
      <c r="E47" s="2"/>
      <c r="F47" s="2"/>
      <c r="G47" s="2"/>
      <c r="H47" s="2"/>
      <c r="I47" s="2"/>
      <c r="J47" s="2"/>
      <c r="K47" s="2"/>
      <c r="L47" s="2"/>
      <c r="M47" s="2"/>
      <c r="N47" s="2"/>
      <c r="O47" s="2"/>
      <c r="P47" s="2"/>
      <c r="Q47" s="2"/>
      <c r="R47" s="2"/>
      <c r="S47" s="2"/>
      <c r="T47" s="3"/>
    </row>
    <row r="48" spans="2:20" ht="14.1" customHeight="1">
      <c r="B48" s="2"/>
      <c r="C48" s="2"/>
      <c r="D48" s="2"/>
      <c r="E48" s="2"/>
      <c r="F48" s="2"/>
      <c r="G48" s="2"/>
      <c r="H48" s="2"/>
      <c r="I48" s="2"/>
      <c r="J48" s="2"/>
      <c r="K48" s="2"/>
      <c r="L48" s="2"/>
      <c r="M48" s="2"/>
      <c r="N48" s="2"/>
      <c r="O48" s="2"/>
      <c r="P48" s="2"/>
      <c r="Q48" s="2"/>
      <c r="R48" s="2"/>
      <c r="S48" s="2"/>
      <c r="T48" s="3"/>
    </row>
    <row r="49" spans="2:20" ht="14.1" customHeight="1">
      <c r="B49" s="2"/>
      <c r="C49" s="2"/>
      <c r="D49" s="2"/>
      <c r="E49" s="2"/>
      <c r="F49" s="2"/>
      <c r="G49" s="2"/>
      <c r="H49" s="2"/>
      <c r="I49" s="2"/>
      <c r="J49" s="2"/>
      <c r="K49" s="2"/>
      <c r="L49" s="2"/>
      <c r="M49" s="2"/>
      <c r="N49" s="2"/>
      <c r="O49" s="2"/>
      <c r="P49" s="2"/>
      <c r="Q49" s="2"/>
      <c r="R49" s="2"/>
      <c r="S49" s="2"/>
      <c r="T49" s="3"/>
    </row>
    <row r="50" spans="2:20" ht="14.1" customHeight="1">
      <c r="B50" s="2"/>
      <c r="C50" s="2"/>
      <c r="D50" s="2"/>
      <c r="E50" s="2"/>
      <c r="F50" s="2"/>
      <c r="G50" s="2"/>
      <c r="H50" s="2"/>
      <c r="I50" s="2"/>
      <c r="J50" s="2"/>
      <c r="K50" s="2"/>
      <c r="L50" s="2"/>
      <c r="M50" s="2"/>
      <c r="N50" s="2"/>
      <c r="O50" s="2"/>
      <c r="P50" s="2"/>
      <c r="Q50" s="2"/>
      <c r="R50" s="2"/>
      <c r="S50" s="2"/>
      <c r="T50" s="3"/>
    </row>
    <row r="51" spans="2:20" ht="14.1" customHeight="1">
      <c r="B51" s="2"/>
      <c r="C51" s="2"/>
      <c r="D51" s="2"/>
      <c r="E51" s="2"/>
      <c r="F51" s="2"/>
      <c r="G51" s="2"/>
      <c r="H51" s="2"/>
      <c r="I51" s="2"/>
      <c r="J51" s="2"/>
      <c r="K51" s="2"/>
      <c r="L51" s="2"/>
      <c r="M51" s="2"/>
      <c r="N51" s="2"/>
      <c r="O51" s="2"/>
      <c r="P51" s="2"/>
      <c r="Q51" s="2"/>
      <c r="R51" s="2"/>
      <c r="S51" s="2"/>
      <c r="T51" s="3"/>
    </row>
    <row r="52" spans="2:20" ht="14.1" customHeight="1">
      <c r="B52" s="2"/>
      <c r="C52" s="2"/>
      <c r="D52" s="2"/>
      <c r="E52" s="2"/>
      <c r="F52" s="2"/>
      <c r="G52" s="2"/>
      <c r="H52" s="2"/>
      <c r="I52" s="2"/>
      <c r="J52" s="2"/>
      <c r="K52" s="2"/>
      <c r="L52" s="2"/>
      <c r="M52" s="2"/>
      <c r="N52" s="2"/>
      <c r="O52" s="2"/>
      <c r="P52" s="2"/>
      <c r="Q52" s="2"/>
      <c r="R52" s="2"/>
      <c r="S52" s="2"/>
      <c r="T52" s="3"/>
    </row>
    <row r="53" spans="2:20" ht="14.1" customHeight="1">
      <c r="B53" s="2"/>
      <c r="C53" s="2"/>
      <c r="D53" s="2"/>
      <c r="E53" s="2"/>
      <c r="F53" s="2"/>
      <c r="G53" s="2"/>
      <c r="H53" s="2"/>
      <c r="I53" s="2"/>
      <c r="J53" s="2"/>
      <c r="K53" s="2"/>
      <c r="L53" s="2"/>
      <c r="M53" s="2"/>
      <c r="N53" s="2"/>
      <c r="O53" s="2"/>
      <c r="P53" s="2"/>
      <c r="Q53" s="2"/>
      <c r="R53" s="2"/>
      <c r="S53" s="2"/>
      <c r="T53" s="3"/>
    </row>
    <row r="54" spans="2:20" ht="14.1" customHeight="1">
      <c r="B54" s="2"/>
      <c r="C54" s="2"/>
      <c r="D54" s="2"/>
      <c r="E54" s="2"/>
      <c r="F54" s="2"/>
      <c r="G54" s="2"/>
      <c r="H54" s="2"/>
      <c r="I54" s="2"/>
      <c r="J54" s="2"/>
      <c r="K54" s="2"/>
      <c r="L54" s="2"/>
      <c r="M54" s="2"/>
      <c r="N54" s="2"/>
      <c r="O54" s="2"/>
      <c r="P54" s="2"/>
      <c r="Q54" s="2"/>
      <c r="R54" s="2"/>
      <c r="S54" s="2"/>
      <c r="T54" s="3"/>
    </row>
    <row r="55" spans="2:20" ht="14.1" customHeight="1">
      <c r="B55" s="2"/>
      <c r="C55" s="2"/>
      <c r="D55" s="2"/>
      <c r="E55" s="2"/>
      <c r="F55" s="2"/>
      <c r="G55" s="2"/>
      <c r="H55" s="2"/>
      <c r="I55" s="2"/>
      <c r="J55" s="2"/>
      <c r="K55" s="2"/>
      <c r="L55" s="2"/>
      <c r="M55" s="2"/>
      <c r="N55" s="2"/>
      <c r="O55" s="2"/>
      <c r="P55" s="2"/>
      <c r="Q55" s="2"/>
      <c r="R55" s="2"/>
      <c r="S55" s="2"/>
      <c r="T55" s="3"/>
    </row>
    <row r="56" spans="2:20" ht="14.1" customHeight="1">
      <c r="B56" s="2"/>
      <c r="C56" s="2"/>
      <c r="D56" s="2"/>
      <c r="E56" s="2"/>
      <c r="F56" s="2"/>
      <c r="G56" s="2"/>
      <c r="H56" s="2"/>
      <c r="I56" s="2"/>
      <c r="J56" s="2"/>
      <c r="K56" s="2"/>
      <c r="L56" s="2"/>
      <c r="M56" s="2"/>
      <c r="N56" s="2"/>
      <c r="O56" s="2"/>
      <c r="P56" s="2"/>
      <c r="Q56" s="2"/>
      <c r="R56" s="2"/>
      <c r="S56" s="2"/>
      <c r="T56" s="3"/>
    </row>
    <row r="57" spans="2:20" ht="14.1" customHeight="1">
      <c r="B57" s="2"/>
      <c r="C57" s="2"/>
      <c r="D57" s="2"/>
      <c r="E57" s="2"/>
      <c r="F57" s="2"/>
      <c r="G57" s="2"/>
      <c r="H57" s="2"/>
      <c r="I57" s="2"/>
      <c r="J57" s="2"/>
      <c r="K57" s="2"/>
      <c r="L57" s="2"/>
      <c r="M57" s="2"/>
      <c r="N57" s="2"/>
      <c r="O57" s="2"/>
      <c r="P57" s="2"/>
      <c r="Q57" s="2"/>
      <c r="R57" s="2"/>
      <c r="S57" s="2"/>
      <c r="T57" s="3"/>
    </row>
    <row r="58" spans="2:20" ht="14.1" customHeight="1">
      <c r="B58" s="2"/>
      <c r="C58" s="2"/>
      <c r="D58" s="2"/>
      <c r="E58" s="2"/>
      <c r="F58" s="2"/>
      <c r="G58" s="2"/>
      <c r="H58" s="2"/>
      <c r="I58" s="2"/>
      <c r="J58" s="2"/>
      <c r="K58" s="2"/>
      <c r="L58" s="2"/>
      <c r="M58" s="2"/>
      <c r="N58" s="2"/>
      <c r="O58" s="2"/>
      <c r="P58" s="2"/>
      <c r="Q58" s="2"/>
      <c r="R58" s="2"/>
      <c r="S58" s="2"/>
      <c r="T58" s="3"/>
    </row>
    <row r="59" spans="2:20" ht="14.1" customHeight="1">
      <c r="B59" s="2"/>
      <c r="C59" s="2"/>
      <c r="D59" s="2"/>
      <c r="E59" s="2"/>
      <c r="F59" s="2"/>
      <c r="G59" s="2"/>
      <c r="H59" s="2"/>
      <c r="I59" s="2"/>
      <c r="J59" s="2"/>
      <c r="K59" s="2"/>
      <c r="L59" s="2"/>
      <c r="M59" s="2"/>
      <c r="N59" s="2"/>
      <c r="O59" s="2"/>
      <c r="P59" s="2"/>
      <c r="Q59" s="2"/>
      <c r="R59" s="2"/>
      <c r="S59" s="2"/>
      <c r="T59" s="3"/>
    </row>
    <row r="60" spans="2:20" ht="14.1" customHeight="1">
      <c r="B60" s="2"/>
      <c r="C60" s="2"/>
      <c r="D60" s="2"/>
      <c r="E60" s="2"/>
      <c r="F60" s="2"/>
      <c r="G60" s="2"/>
      <c r="H60" s="2"/>
      <c r="I60" s="2"/>
      <c r="J60" s="2"/>
      <c r="K60" s="2"/>
      <c r="L60" s="2"/>
      <c r="M60" s="2"/>
      <c r="N60" s="2"/>
      <c r="O60" s="2"/>
      <c r="P60" s="2"/>
      <c r="Q60" s="2"/>
      <c r="R60" s="2"/>
      <c r="S60" s="2"/>
      <c r="T60" s="3"/>
    </row>
    <row r="61" spans="2:20" ht="14.1" customHeight="1">
      <c r="B61" s="2"/>
      <c r="C61" s="2"/>
      <c r="D61" s="2"/>
      <c r="E61" s="2"/>
      <c r="F61" s="2"/>
      <c r="G61" s="2"/>
      <c r="H61" s="2"/>
      <c r="I61" s="2"/>
      <c r="J61" s="2"/>
      <c r="K61" s="2"/>
      <c r="L61" s="2"/>
      <c r="M61" s="2"/>
      <c r="N61" s="2"/>
      <c r="O61" s="2"/>
      <c r="P61" s="2"/>
      <c r="Q61" s="2"/>
      <c r="R61" s="2"/>
      <c r="S61" s="2"/>
      <c r="T61" s="3"/>
    </row>
    <row r="62" spans="2:20" ht="14.1" customHeight="1">
      <c r="B62" s="2"/>
      <c r="C62" s="2"/>
      <c r="D62" s="2"/>
      <c r="E62" s="2"/>
      <c r="F62" s="2"/>
      <c r="G62" s="2"/>
      <c r="H62" s="2"/>
      <c r="I62" s="2"/>
      <c r="J62" s="2"/>
      <c r="K62" s="2"/>
      <c r="L62" s="2"/>
      <c r="M62" s="2"/>
      <c r="N62" s="2"/>
      <c r="O62" s="2"/>
      <c r="P62" s="2"/>
      <c r="Q62" s="2"/>
      <c r="R62" s="2"/>
      <c r="S62" s="2"/>
      <c r="T62" s="3"/>
    </row>
    <row r="63" spans="2:20" ht="14.1" customHeight="1">
      <c r="B63" s="2"/>
      <c r="C63" s="2"/>
      <c r="D63" s="2"/>
      <c r="E63" s="2"/>
      <c r="F63" s="2"/>
      <c r="G63" s="2"/>
      <c r="H63" s="2"/>
      <c r="I63" s="2"/>
      <c r="J63" s="2"/>
      <c r="K63" s="2"/>
      <c r="L63" s="2"/>
      <c r="M63" s="2"/>
      <c r="N63" s="2"/>
      <c r="O63" s="2"/>
      <c r="P63" s="2"/>
      <c r="Q63" s="2"/>
      <c r="R63" s="2"/>
      <c r="S63" s="2"/>
      <c r="T63" s="3"/>
    </row>
    <row r="64" spans="2:20" ht="14.1" customHeight="1">
      <c r="B64" s="2"/>
      <c r="C64" s="2"/>
      <c r="D64" s="2"/>
      <c r="E64" s="2"/>
      <c r="F64" s="2"/>
      <c r="G64" s="2"/>
      <c r="H64" s="2"/>
      <c r="I64" s="2"/>
      <c r="J64" s="2"/>
      <c r="K64" s="2"/>
      <c r="L64" s="2"/>
      <c r="M64" s="2"/>
      <c r="N64" s="2"/>
      <c r="O64" s="2"/>
      <c r="P64" s="2"/>
      <c r="Q64" s="2"/>
      <c r="R64" s="2"/>
      <c r="S64" s="2"/>
      <c r="T64" s="3"/>
    </row>
    <row r="65" spans="2:20" ht="14.1" customHeight="1">
      <c r="B65" s="2"/>
      <c r="C65" s="2"/>
      <c r="D65" s="2"/>
      <c r="E65" s="2"/>
      <c r="F65" s="2"/>
      <c r="G65" s="2"/>
      <c r="H65" s="2"/>
      <c r="I65" s="2"/>
      <c r="J65" s="2"/>
      <c r="K65" s="2"/>
      <c r="L65" s="2"/>
      <c r="M65" s="2"/>
      <c r="N65" s="2"/>
      <c r="O65" s="2"/>
      <c r="P65" s="2"/>
      <c r="Q65" s="2"/>
      <c r="R65" s="2"/>
      <c r="S65" s="2"/>
      <c r="T65" s="3"/>
    </row>
    <row r="66" spans="2:20" ht="14.1" customHeight="1">
      <c r="B66" s="2"/>
      <c r="C66" s="2"/>
      <c r="D66" s="2"/>
      <c r="E66" s="2"/>
      <c r="F66" s="2"/>
      <c r="G66" s="2"/>
      <c r="H66" s="2"/>
      <c r="I66" s="2"/>
      <c r="J66" s="2"/>
      <c r="K66" s="2"/>
      <c r="L66" s="2"/>
      <c r="M66" s="2"/>
      <c r="N66" s="2"/>
      <c r="O66" s="2"/>
      <c r="P66" s="2"/>
      <c r="Q66" s="2"/>
      <c r="R66" s="2"/>
      <c r="S66" s="2"/>
      <c r="T66" s="3"/>
    </row>
    <row r="67" spans="2:20" ht="14.1" customHeight="1">
      <c r="B67" s="2"/>
      <c r="C67" s="2"/>
      <c r="D67" s="2"/>
      <c r="E67" s="2"/>
      <c r="F67" s="2"/>
      <c r="G67" s="2"/>
      <c r="H67" s="2"/>
      <c r="I67" s="2"/>
      <c r="J67" s="2"/>
      <c r="K67" s="2"/>
      <c r="L67" s="2"/>
      <c r="M67" s="2"/>
      <c r="N67" s="2"/>
      <c r="O67" s="2"/>
      <c r="P67" s="2"/>
      <c r="Q67" s="2"/>
      <c r="R67" s="2"/>
      <c r="S67" s="2"/>
      <c r="T67" s="3"/>
    </row>
    <row r="68" spans="2:20" ht="14.1" customHeight="1">
      <c r="B68" s="2"/>
      <c r="C68" s="2"/>
      <c r="D68" s="2"/>
      <c r="E68" s="2"/>
      <c r="F68" s="2"/>
      <c r="G68" s="2"/>
      <c r="H68" s="2"/>
      <c r="I68" s="2"/>
      <c r="J68" s="2"/>
      <c r="K68" s="2"/>
      <c r="L68" s="2"/>
      <c r="M68" s="2"/>
      <c r="N68" s="2"/>
      <c r="O68" s="2"/>
      <c r="P68" s="2"/>
      <c r="Q68" s="2"/>
      <c r="R68" s="2"/>
      <c r="S68" s="2"/>
      <c r="T68" s="3"/>
    </row>
    <row r="69" spans="2:20" ht="14.1" customHeight="1">
      <c r="B69" s="2"/>
      <c r="C69" s="2"/>
      <c r="D69" s="2"/>
      <c r="E69" s="2"/>
      <c r="F69" s="2"/>
      <c r="G69" s="2"/>
      <c r="H69" s="2"/>
      <c r="I69" s="2"/>
      <c r="J69" s="2"/>
      <c r="K69" s="2"/>
      <c r="L69" s="2"/>
      <c r="M69" s="2"/>
      <c r="N69" s="2"/>
      <c r="O69" s="2"/>
      <c r="P69" s="2"/>
      <c r="Q69" s="2"/>
      <c r="R69" s="2"/>
      <c r="S69" s="2"/>
      <c r="T69" s="3"/>
    </row>
    <row r="70" spans="2:20" ht="14.1" customHeight="1">
      <c r="B70" s="2"/>
      <c r="C70" s="2"/>
      <c r="D70" s="2"/>
      <c r="E70" s="2"/>
      <c r="F70" s="2"/>
      <c r="G70" s="2"/>
      <c r="H70" s="2"/>
      <c r="I70" s="2"/>
      <c r="J70" s="2"/>
      <c r="K70" s="2"/>
      <c r="L70" s="2"/>
      <c r="M70" s="2"/>
      <c r="N70" s="2"/>
      <c r="O70" s="2"/>
      <c r="P70" s="2"/>
      <c r="Q70" s="2"/>
      <c r="R70" s="2"/>
      <c r="S70" s="2"/>
      <c r="T70" s="3"/>
    </row>
    <row r="71" spans="2:20" ht="14.1" customHeight="1">
      <c r="B71" s="2"/>
      <c r="C71" s="2"/>
      <c r="D71" s="2"/>
      <c r="E71" s="2"/>
      <c r="F71" s="2"/>
      <c r="G71" s="2"/>
      <c r="H71" s="2"/>
      <c r="I71" s="2"/>
      <c r="J71" s="2"/>
      <c r="K71" s="2"/>
      <c r="L71" s="2"/>
      <c r="M71" s="2"/>
      <c r="N71" s="2"/>
      <c r="O71" s="2"/>
      <c r="P71" s="2"/>
      <c r="Q71" s="2"/>
      <c r="R71" s="2"/>
      <c r="S71" s="2"/>
      <c r="T71" s="3"/>
    </row>
    <row r="72" spans="2:20" ht="14.1" customHeight="1">
      <c r="B72" s="2"/>
      <c r="C72" s="2"/>
      <c r="D72" s="2"/>
      <c r="E72" s="2"/>
      <c r="F72" s="2"/>
      <c r="G72" s="2"/>
      <c r="H72" s="2"/>
      <c r="I72" s="2"/>
      <c r="J72" s="2"/>
      <c r="K72" s="2"/>
      <c r="L72" s="2"/>
      <c r="M72" s="2"/>
      <c r="N72" s="2"/>
      <c r="O72" s="2"/>
      <c r="P72" s="2"/>
      <c r="Q72" s="2"/>
      <c r="R72" s="2"/>
      <c r="S72" s="2"/>
      <c r="T72" s="3"/>
    </row>
    <row r="73" spans="2:20" ht="14.1" customHeight="1">
      <c r="B73" s="2"/>
      <c r="C73" s="2"/>
      <c r="D73" s="2"/>
      <c r="E73" s="2"/>
      <c r="F73" s="2"/>
      <c r="G73" s="2"/>
      <c r="H73" s="2"/>
      <c r="I73" s="2"/>
      <c r="J73" s="2"/>
      <c r="K73" s="2"/>
      <c r="L73" s="2"/>
      <c r="M73" s="2"/>
      <c r="N73" s="2"/>
      <c r="O73" s="2"/>
      <c r="P73" s="2"/>
      <c r="Q73" s="2"/>
      <c r="R73" s="2"/>
      <c r="S73" s="2"/>
      <c r="T73" s="3"/>
    </row>
    <row r="74" spans="2:20" ht="14.1" customHeight="1">
      <c r="B74" s="2"/>
      <c r="C74" s="2"/>
      <c r="D74" s="2"/>
      <c r="E74" s="2"/>
      <c r="F74" s="2"/>
      <c r="G74" s="2"/>
      <c r="H74" s="2"/>
      <c r="I74" s="2"/>
      <c r="J74" s="2"/>
      <c r="K74" s="2"/>
      <c r="L74" s="2"/>
      <c r="M74" s="2"/>
      <c r="N74" s="2"/>
      <c r="O74" s="2"/>
      <c r="P74" s="2"/>
      <c r="Q74" s="2"/>
      <c r="R74" s="2"/>
      <c r="S74" s="2"/>
      <c r="T74" s="3"/>
    </row>
    <row r="75" spans="2:20" ht="14.1" customHeight="1">
      <c r="B75" s="2"/>
      <c r="C75" s="2"/>
      <c r="D75" s="2"/>
      <c r="E75" s="2"/>
      <c r="F75" s="2"/>
      <c r="G75" s="2"/>
      <c r="H75" s="2"/>
      <c r="I75" s="2"/>
      <c r="J75" s="2"/>
      <c r="K75" s="2"/>
      <c r="L75" s="2"/>
      <c r="M75" s="2"/>
      <c r="N75" s="2"/>
      <c r="O75" s="2"/>
      <c r="P75" s="2"/>
      <c r="Q75" s="2"/>
      <c r="R75" s="2"/>
      <c r="S75" s="2"/>
      <c r="T75" s="3"/>
    </row>
    <row r="76" spans="2:20" ht="14.1" customHeight="1">
      <c r="B76" s="2"/>
      <c r="C76" s="2"/>
      <c r="D76" s="2"/>
      <c r="E76" s="2"/>
      <c r="F76" s="2"/>
      <c r="G76" s="2"/>
      <c r="H76" s="2"/>
      <c r="I76" s="2"/>
      <c r="J76" s="2"/>
      <c r="K76" s="2"/>
      <c r="L76" s="2"/>
      <c r="M76" s="2"/>
      <c r="N76" s="2"/>
      <c r="O76" s="2"/>
      <c r="P76" s="2"/>
      <c r="Q76" s="2"/>
      <c r="R76" s="2"/>
      <c r="S76" s="2"/>
      <c r="T76" s="3"/>
    </row>
    <row r="77" spans="2:20" ht="14.1" customHeight="1">
      <c r="B77" s="3"/>
      <c r="C77" s="3"/>
      <c r="D77" s="3"/>
      <c r="E77" s="3"/>
      <c r="F77" s="3"/>
      <c r="G77" s="3"/>
      <c r="H77" s="3"/>
      <c r="I77" s="3"/>
      <c r="J77" s="3"/>
      <c r="K77" s="3"/>
      <c r="L77" s="3"/>
      <c r="M77" s="3"/>
      <c r="N77" s="3"/>
      <c r="O77" s="3"/>
      <c r="P77" s="3"/>
      <c r="Q77" s="3"/>
      <c r="R77" s="3"/>
      <c r="S77" s="3"/>
      <c r="T77" s="21"/>
    </row>
  </sheetData>
  <sheetProtection sheet="1" selectLockedCells="1"/>
  <mergeCells count="17">
    <mergeCell ref="C29:Q29"/>
    <mergeCell ref="D7:G7"/>
    <mergeCell ref="D8:G8"/>
    <mergeCell ref="D9:G9"/>
    <mergeCell ref="D10:G10"/>
    <mergeCell ref="D11:G11"/>
    <mergeCell ref="D12:G12"/>
    <mergeCell ref="D21:G21"/>
    <mergeCell ref="D20:G20"/>
    <mergeCell ref="D13:G13"/>
    <mergeCell ref="B5:J5"/>
    <mergeCell ref="D19:G19"/>
    <mergeCell ref="D17:G17"/>
    <mergeCell ref="D18:G18"/>
    <mergeCell ref="D16:G16"/>
    <mergeCell ref="D14:G14"/>
    <mergeCell ref="D15:G15"/>
  </mergeCells>
  <phoneticPr fontId="23" type="noConversion"/>
  <pageMargins left="0.78740157480314965" right="0.78740157480314965" top="0.59055118110236227" bottom="0.59055118110236227" header="0.51181102362204722" footer="0.31496062992125984"/>
  <pageSetup paperSize="9" scale="65" orientation="portrait" r:id="rId1"/>
  <headerFooter alignWithMargins="0">
    <oddFooter>&amp;L©AGRIDEA&amp;R04.2022</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V234"/>
  <sheetViews>
    <sheetView showGridLines="0" showRowColHeaders="0" showZeros="0" zoomScaleNormal="100" workbookViewId="0">
      <selection activeCell="K8" sqref="K8"/>
    </sheetView>
  </sheetViews>
  <sheetFormatPr baseColWidth="10" defaultColWidth="11.42578125" defaultRowHeight="14.1" customHeight="1"/>
  <cols>
    <col min="1" max="1" width="0.85546875" style="184" customWidth="1"/>
    <col min="2" max="2" width="1.5703125" style="184" customWidth="1"/>
    <col min="3" max="3" width="30.5703125" style="184" customWidth="1"/>
    <col min="4" max="4" width="3.5703125" style="184" customWidth="1"/>
    <col min="5" max="5" width="11" style="184" customWidth="1"/>
    <col min="6" max="6" width="7.42578125" style="184" customWidth="1"/>
    <col min="7" max="7" width="11.5703125" style="184" customWidth="1"/>
    <col min="8" max="8" width="7.5703125" style="184" customWidth="1"/>
    <col min="9" max="9" width="10.5703125" style="184" customWidth="1"/>
    <col min="10" max="10" width="4.5703125" style="184" customWidth="1"/>
    <col min="11" max="11" width="10.5703125" style="184" customWidth="1"/>
    <col min="12" max="12" width="3.42578125" style="184" customWidth="1"/>
    <col min="13" max="13" width="10.42578125" style="184" customWidth="1"/>
    <col min="14" max="14" width="3.5703125" style="184" customWidth="1"/>
    <col min="15" max="15" width="11.5703125" style="184" customWidth="1"/>
    <col min="16" max="16" width="2.42578125" style="184" customWidth="1"/>
    <col min="17" max="17" width="14.42578125" style="184" customWidth="1"/>
    <col min="18" max="16384" width="11.42578125" style="184"/>
  </cols>
  <sheetData>
    <row r="1" spans="2:20" ht="42" customHeight="1">
      <c r="F1" s="183" t="str">
        <f>Texte!A73</f>
        <v>Calcul des paiements directs à partir de 2023</v>
      </c>
      <c r="P1" s="182"/>
      <c r="Q1" s="1" t="str">
        <f>Texte!A211</f>
        <v>Paiements directs 5</v>
      </c>
      <c r="R1" s="2"/>
      <c r="S1" s="2"/>
      <c r="T1" s="3"/>
    </row>
    <row r="2" spans="2:20" s="21" customFormat="1" ht="11.1" customHeight="1" thickBot="1">
      <c r="B2" s="185"/>
      <c r="C2" s="185"/>
      <c r="D2" s="185"/>
      <c r="E2" s="185"/>
      <c r="F2" s="185"/>
      <c r="G2" s="185"/>
      <c r="H2" s="185"/>
      <c r="I2" s="185"/>
      <c r="J2" s="185"/>
      <c r="K2" s="185"/>
      <c r="L2" s="185"/>
      <c r="M2" s="185"/>
      <c r="N2" s="185"/>
      <c r="O2" s="185"/>
      <c r="P2" s="185"/>
      <c r="Q2" s="4"/>
      <c r="R2" s="2"/>
      <c r="S2" s="2"/>
      <c r="T2" s="3"/>
    </row>
    <row r="3" spans="2:20" s="181" customFormat="1" ht="21.95" customHeight="1">
      <c r="B3" s="176" t="str">
        <f>Texte!A178</f>
        <v>Exploitation:</v>
      </c>
      <c r="C3" s="177"/>
      <c r="D3" s="169">
        <f>'Paysage cultivé'!D3</f>
        <v>0</v>
      </c>
      <c r="E3" s="170"/>
      <c r="F3" s="170"/>
      <c r="G3" s="178"/>
      <c r="H3" s="179"/>
      <c r="I3" s="179"/>
      <c r="K3" s="180"/>
      <c r="L3" s="173" t="str">
        <f>Texte!A294</f>
        <v>Variante:</v>
      </c>
      <c r="M3" s="171">
        <f>'Paysage cultivé'!K3</f>
        <v>0</v>
      </c>
      <c r="N3" s="172"/>
      <c r="O3" s="180"/>
      <c r="P3" s="173" t="str">
        <f>Texte!A53</f>
        <v>Année:</v>
      </c>
      <c r="Q3" s="174">
        <f>'Paysage cultivé'!O3</f>
        <v>0</v>
      </c>
      <c r="R3" s="180"/>
      <c r="S3" s="180"/>
      <c r="T3" s="177"/>
    </row>
    <row r="4" spans="2:20" ht="12.75" customHeight="1">
      <c r="B4" s="2"/>
      <c r="C4" s="2"/>
      <c r="D4" s="2"/>
      <c r="E4" s="2"/>
      <c r="F4" s="2"/>
      <c r="G4" s="2"/>
      <c r="H4" s="2"/>
      <c r="I4" s="2"/>
      <c r="J4" s="2"/>
      <c r="K4" s="2"/>
      <c r="L4" s="2"/>
      <c r="M4" s="2"/>
      <c r="N4" s="2"/>
      <c r="O4" s="2"/>
      <c r="P4" s="2"/>
      <c r="Q4" s="2"/>
      <c r="R4" s="2"/>
      <c r="S4" s="2"/>
      <c r="T4" s="3"/>
    </row>
    <row r="5" spans="2:20" ht="17.100000000000001" customHeight="1">
      <c r="B5" s="129" t="str">
        <f>Texte!A93</f>
        <v>Contributions au système de production (CSP, Art. 65 à 76 et Annexe 7 OPD)</v>
      </c>
      <c r="C5" s="2"/>
      <c r="D5" s="2"/>
      <c r="E5" s="2"/>
      <c r="F5" s="2"/>
      <c r="G5" s="2"/>
      <c r="H5" s="2"/>
      <c r="I5" s="2"/>
      <c r="J5" s="2"/>
      <c r="K5" s="2"/>
      <c r="L5" s="2"/>
      <c r="M5" s="2"/>
      <c r="N5" s="2"/>
      <c r="O5" s="2"/>
      <c r="P5" s="2"/>
      <c r="Q5" s="2"/>
      <c r="R5" s="7"/>
      <c r="S5" s="7"/>
      <c r="T5" s="3"/>
    </row>
    <row r="6" spans="2:20" ht="39.950000000000003" customHeight="1">
      <c r="B6" s="706" t="str">
        <f>Texte!A263</f>
        <v>Modes de production conformes au principe de la globalité</v>
      </c>
      <c r="C6" s="707"/>
      <c r="D6" s="707"/>
      <c r="E6" s="707"/>
      <c r="F6" s="707"/>
      <c r="G6" s="707"/>
      <c r="H6" s="707"/>
      <c r="I6" s="65" t="str">
        <f>Texte!A190</f>
        <v>Montant (Fr.)</v>
      </c>
      <c r="J6" s="65"/>
      <c r="K6" s="65" t="str">
        <f>Texte!A343</f>
        <v>Surface (ha)</v>
      </c>
      <c r="L6" s="65"/>
      <c r="M6" s="65" t="str">
        <f>Texte!A253</f>
        <v>Sous-total</v>
      </c>
      <c r="N6" s="198"/>
      <c r="O6" s="65"/>
      <c r="P6" s="61"/>
      <c r="Q6" s="199" t="str">
        <f>Texte!A282</f>
        <v>Total (Fr.)</v>
      </c>
      <c r="R6" s="7"/>
      <c r="S6" s="7"/>
      <c r="T6" s="3"/>
    </row>
    <row r="7" spans="2:20" ht="17.100000000000001" customHeight="1">
      <c r="B7" s="9" t="str">
        <f>Texte!A215</f>
        <v>Agriculture biologique</v>
      </c>
      <c r="C7" s="10"/>
      <c r="D7" s="10"/>
      <c r="E7" s="10"/>
      <c r="F7" s="10"/>
      <c r="G7" s="10"/>
      <c r="H7" s="17"/>
      <c r="I7" s="17"/>
      <c r="J7" s="17"/>
      <c r="K7" s="17"/>
      <c r="L7" s="17"/>
      <c r="M7" s="17"/>
      <c r="N7" s="17"/>
      <c r="O7" s="17"/>
      <c r="P7" s="23"/>
      <c r="Q7" s="72"/>
      <c r="R7" s="2"/>
      <c r="T7" s="3"/>
    </row>
    <row r="8" spans="2:20" ht="17.100000000000001" customHeight="1">
      <c r="B8" s="12"/>
      <c r="C8" s="17" t="str">
        <f>Texte!A170</f>
        <v>cultures spéciales</v>
      </c>
      <c r="D8" s="17"/>
      <c r="E8" s="17"/>
      <c r="F8" s="17"/>
      <c r="G8" s="17"/>
      <c r="H8" s="54"/>
      <c r="I8" s="94">
        <v>1600</v>
      </c>
      <c r="J8" s="23" t="s">
        <v>140</v>
      </c>
      <c r="K8" s="139"/>
      <c r="L8" s="23" t="s">
        <v>141</v>
      </c>
      <c r="M8" s="39">
        <f>I8*K8</f>
        <v>0</v>
      </c>
      <c r="N8" s="40"/>
      <c r="O8" s="40"/>
      <c r="P8" s="23"/>
      <c r="Q8" s="72"/>
      <c r="R8" s="11"/>
      <c r="T8" s="3"/>
    </row>
    <row r="9" spans="2:20" ht="17.100000000000001" customHeight="1">
      <c r="B9" s="12"/>
      <c r="C9" s="54" t="str">
        <f>Texte!A65</f>
        <v>autres terres ouvertes</v>
      </c>
      <c r="D9" s="54"/>
      <c r="E9" s="54"/>
      <c r="F9" s="54"/>
      <c r="G9" s="54"/>
      <c r="H9" s="54"/>
      <c r="I9" s="94">
        <v>1200</v>
      </c>
      <c r="J9" s="23" t="s">
        <v>140</v>
      </c>
      <c r="K9" s="139"/>
      <c r="L9" s="23" t="s">
        <v>141</v>
      </c>
      <c r="M9" s="39">
        <f>I9*K9</f>
        <v>0</v>
      </c>
      <c r="N9" s="40"/>
      <c r="O9" s="40"/>
      <c r="P9" s="23"/>
      <c r="Q9" s="72"/>
      <c r="R9" s="11"/>
      <c r="T9" s="3"/>
    </row>
    <row r="10" spans="2:20" ht="17.100000000000001" customHeight="1">
      <c r="B10" s="12"/>
      <c r="C10" s="17" t="str">
        <f>Texte!A64</f>
        <v>autres surfaces agricoles utiles</v>
      </c>
      <c r="D10" s="17"/>
      <c r="E10" s="17"/>
      <c r="F10" s="17"/>
      <c r="G10" s="17"/>
      <c r="H10" s="54"/>
      <c r="I10" s="94">
        <v>200</v>
      </c>
      <c r="J10" s="23" t="s">
        <v>140</v>
      </c>
      <c r="K10" s="139"/>
      <c r="L10" s="23" t="s">
        <v>141</v>
      </c>
      <c r="M10" s="39">
        <f>I10*K10</f>
        <v>0</v>
      </c>
      <c r="N10" s="40"/>
      <c r="O10" s="40"/>
      <c r="P10" s="23"/>
      <c r="Q10" s="72"/>
      <c r="R10" s="11"/>
      <c r="T10" s="3"/>
    </row>
    <row r="11" spans="2:20" ht="12.75" customHeight="1">
      <c r="B11" s="12"/>
      <c r="C11" s="17"/>
      <c r="D11" s="17"/>
      <c r="E11" s="17"/>
      <c r="F11" s="17"/>
      <c r="G11" s="17"/>
      <c r="H11" s="54"/>
      <c r="I11" s="50"/>
      <c r="J11" s="23"/>
      <c r="K11" s="47"/>
      <c r="L11" s="23"/>
      <c r="M11" s="40"/>
      <c r="N11" s="40"/>
      <c r="O11" s="40"/>
      <c r="P11" s="23"/>
      <c r="Q11" s="72"/>
      <c r="R11" s="11"/>
      <c r="T11" s="3"/>
    </row>
    <row r="12" spans="2:20" ht="12.6" customHeight="1">
      <c r="B12" s="12"/>
      <c r="C12" s="47"/>
      <c r="D12" s="54"/>
      <c r="E12" s="47"/>
      <c r="F12" s="54"/>
      <c r="G12" s="47"/>
      <c r="H12" s="11"/>
      <c r="I12" s="47"/>
      <c r="J12" s="142"/>
      <c r="K12" s="47"/>
      <c r="L12" s="17"/>
      <c r="M12" s="150"/>
      <c r="N12" s="50"/>
      <c r="O12" s="153" t="str">
        <f>Texte!A252</f>
        <v>Somme contributions</v>
      </c>
      <c r="P12" s="23"/>
      <c r="Q12" s="187"/>
      <c r="R12" s="11"/>
      <c r="T12" s="3"/>
    </row>
    <row r="13" spans="2:20" ht="17.100000000000001" customHeight="1">
      <c r="B13" s="243"/>
      <c r="C13" s="114"/>
      <c r="D13" s="51"/>
      <c r="E13" s="51"/>
      <c r="F13" s="51"/>
      <c r="G13" s="47"/>
      <c r="H13" s="51"/>
      <c r="I13" s="134"/>
      <c r="J13" s="100"/>
      <c r="K13" s="115"/>
      <c r="L13" s="17"/>
      <c r="M13" s="115"/>
      <c r="N13" s="115"/>
      <c r="O13" s="115"/>
      <c r="P13" s="23" t="s">
        <v>141</v>
      </c>
      <c r="Q13" s="52">
        <f>SUM(M8:M10)</f>
        <v>0</v>
      </c>
      <c r="R13" s="11"/>
      <c r="T13" s="3"/>
    </row>
    <row r="14" spans="2:20" ht="17.100000000000001" customHeight="1">
      <c r="B14" s="243"/>
      <c r="C14" s="114"/>
      <c r="D14" s="51"/>
      <c r="E14" s="51"/>
      <c r="F14" s="51"/>
      <c r="G14" s="47"/>
      <c r="H14" s="51"/>
      <c r="I14" s="134"/>
      <c r="J14" s="100"/>
      <c r="K14" s="115"/>
      <c r="L14" s="17"/>
      <c r="M14" s="115"/>
      <c r="N14" s="115"/>
      <c r="O14" s="115"/>
      <c r="P14" s="23"/>
      <c r="Q14" s="117"/>
      <c r="R14" s="11"/>
      <c r="T14" s="3"/>
    </row>
    <row r="15" spans="2:20" ht="30" customHeight="1">
      <c r="B15" s="620" t="str">
        <f>Texte!A187</f>
        <v>Modes de production portant sur une partie de l'exploitation</v>
      </c>
      <c r="C15" s="621"/>
      <c r="D15" s="621"/>
      <c r="E15" s="621"/>
      <c r="F15" s="621"/>
      <c r="G15" s="621"/>
      <c r="H15" s="621"/>
      <c r="I15" s="578"/>
      <c r="J15" s="270"/>
      <c r="K15" s="579"/>
      <c r="L15" s="61"/>
      <c r="M15" s="579"/>
      <c r="N15" s="579"/>
      <c r="O15" s="579"/>
      <c r="P15" s="110"/>
      <c r="Q15" s="131"/>
      <c r="R15" s="11"/>
      <c r="T15" s="3"/>
    </row>
    <row r="16" spans="2:20" ht="20.45" customHeight="1">
      <c r="B16" s="580" t="str">
        <f>Texte!A120</f>
        <v>Non-recours aux produits phytosanitaires</v>
      </c>
      <c r="C16" s="581"/>
      <c r="D16" s="581"/>
      <c r="E16" s="581"/>
      <c r="F16" s="581"/>
      <c r="G16" s="581"/>
      <c r="H16" s="581"/>
      <c r="I16" s="582"/>
      <c r="J16" s="583"/>
      <c r="K16" s="584"/>
      <c r="L16" s="585"/>
      <c r="M16" s="584"/>
      <c r="N16" s="584"/>
      <c r="O16" s="584"/>
      <c r="P16" s="586"/>
      <c r="Q16" s="587"/>
      <c r="R16" s="11"/>
      <c r="T16" s="3"/>
    </row>
    <row r="17" spans="2:20" ht="30" customHeight="1">
      <c r="B17" s="700" t="str">
        <f>Texte!A121</f>
        <v>Non-recours aux produits phytosanitaires dans les grandes cultures</v>
      </c>
      <c r="C17" s="701"/>
      <c r="D17" s="701"/>
      <c r="E17" s="701"/>
      <c r="F17" s="701"/>
      <c r="G17" s="701"/>
      <c r="H17" s="622" t="s">
        <v>46</v>
      </c>
      <c r="I17" s="134"/>
      <c r="J17" s="100"/>
      <c r="K17" s="115"/>
      <c r="L17" s="17"/>
      <c r="M17" s="115"/>
      <c r="N17" s="115"/>
      <c r="O17" s="115"/>
      <c r="P17" s="23"/>
      <c r="Q17" s="117"/>
      <c r="R17" s="11"/>
      <c r="T17" s="3"/>
    </row>
    <row r="18" spans="2:20" ht="17.100000000000001" customHeight="1">
      <c r="B18" s="70" t="str">
        <f>Texte!A505</f>
        <v>(Emploi d'herbicide autorisé)</v>
      </c>
      <c r="C18" s="623"/>
      <c r="D18" s="623"/>
      <c r="E18" s="623"/>
      <c r="F18" s="623"/>
      <c r="G18" s="623"/>
      <c r="H18" s="292"/>
      <c r="I18" s="134"/>
      <c r="J18" s="100"/>
      <c r="K18" s="115"/>
      <c r="L18" s="17"/>
      <c r="M18" s="115"/>
      <c r="N18" s="115"/>
      <c r="O18" s="115"/>
      <c r="P18" s="23"/>
      <c r="Q18" s="117"/>
      <c r="R18" s="11"/>
      <c r="T18" s="3"/>
    </row>
    <row r="19" spans="2:20" ht="17.25" customHeight="1">
      <c r="B19" s="561"/>
      <c r="C19" s="17" t="str">
        <f>Texte!A123</f>
        <v>Colza, pommes de terre, légumes de conserve de plein champ et betteraves sucrières</v>
      </c>
      <c r="D19" s="554"/>
      <c r="E19" s="554"/>
      <c r="F19" s="554"/>
      <c r="G19" s="554"/>
      <c r="H19" s="554"/>
      <c r="I19" s="94">
        <v>800</v>
      </c>
      <c r="J19" s="23" t="s">
        <v>140</v>
      </c>
      <c r="K19" s="555"/>
      <c r="L19" s="23" t="s">
        <v>141</v>
      </c>
      <c r="M19" s="39">
        <f>I19*K19</f>
        <v>0</v>
      </c>
      <c r="N19" s="115"/>
      <c r="O19" s="115"/>
      <c r="P19" s="23"/>
      <c r="Q19" s="117"/>
      <c r="R19" s="11"/>
      <c r="T19" s="3"/>
    </row>
    <row r="20" spans="2:20" s="247" customFormat="1" ht="69.95" customHeight="1">
      <c r="B20" s="570"/>
      <c r="C20" s="645" t="str">
        <f>Texte!A492</f>
        <v>Blé panifiable, le blé dur, le blé fourrager, le seigle, l’épeautre, l’avoine, l’orge, le triticale, le riz en culture sèche, l’amidonnier et l’engrain ainsi que les mélanges de ces céréales, le lin, les tournesols, les pois en grains, les haricots en grains, les lupins ainsi que pour les mélanges de pois en grains, de haricots en grains ou de lupins avec des céréales</v>
      </c>
      <c r="D20" s="645"/>
      <c r="E20" s="645"/>
      <c r="F20" s="645"/>
      <c r="G20" s="645"/>
      <c r="H20" s="645"/>
      <c r="I20" s="571">
        <v>400</v>
      </c>
      <c r="J20" s="233" t="s">
        <v>140</v>
      </c>
      <c r="K20" s="234"/>
      <c r="L20" s="233" t="s">
        <v>141</v>
      </c>
      <c r="M20" s="232">
        <f>I20*K20</f>
        <v>0</v>
      </c>
      <c r="N20" s="572"/>
      <c r="O20" s="572"/>
      <c r="P20" s="233"/>
      <c r="Q20" s="299"/>
      <c r="R20" s="15"/>
      <c r="T20" s="573"/>
    </row>
    <row r="21" spans="2:20" ht="15" customHeight="1">
      <c r="B21" s="561"/>
      <c r="C21" s="692" t="str">
        <f>Texte!A122</f>
        <v>a) - Aucune contribution n’est versée pour: le maïs, les céréales ensilées, les cultures spéciales, les surfaces de promotion de la biodiversité visées à l’art. 55, à l’exception des céréales en lignes de semis espacées, les cultures dans lesquelles les insecticides et fongicides ne doivent pas être utilisés en vertu de l’art. 18, al. 1 à 5</v>
      </c>
      <c r="D21" s="692"/>
      <c r="E21" s="692"/>
      <c r="F21" s="692"/>
      <c r="G21" s="692"/>
      <c r="H21" s="692"/>
      <c r="I21" s="562"/>
      <c r="J21" s="23"/>
      <c r="K21" s="115"/>
      <c r="L21" s="23"/>
      <c r="M21" s="40"/>
      <c r="N21" s="115"/>
      <c r="P21" s="23"/>
      <c r="Q21" s="117"/>
      <c r="R21" s="11"/>
      <c r="T21" s="3"/>
    </row>
    <row r="22" spans="2:20" ht="15" customHeight="1">
      <c r="B22" s="561"/>
      <c r="C22" s="692"/>
      <c r="D22" s="692"/>
      <c r="E22" s="692"/>
      <c r="F22" s="692"/>
      <c r="G22" s="692"/>
      <c r="H22" s="692"/>
      <c r="I22" s="562"/>
      <c r="J22" s="23"/>
      <c r="K22" s="115"/>
      <c r="L22" s="23"/>
      <c r="M22" s="40"/>
      <c r="N22" s="115"/>
      <c r="O22" s="115" t="str">
        <f>Texte!A252</f>
        <v>Somme contributions</v>
      </c>
      <c r="P22" s="23"/>
      <c r="Q22" s="117"/>
      <c r="R22" s="11"/>
      <c r="T22" s="3"/>
    </row>
    <row r="23" spans="2:20" ht="15" customHeight="1">
      <c r="B23" s="561"/>
      <c r="C23" s="692"/>
      <c r="D23" s="692"/>
      <c r="E23" s="692"/>
      <c r="F23" s="692"/>
      <c r="G23" s="692"/>
      <c r="H23" s="692"/>
      <c r="I23" s="562"/>
      <c r="J23" s="23"/>
      <c r="K23" s="115"/>
      <c r="L23" s="23"/>
      <c r="M23" s="40"/>
      <c r="N23" s="115"/>
      <c r="O23" s="115"/>
      <c r="P23" s="23" t="s">
        <v>141</v>
      </c>
      <c r="Q23" s="52">
        <f>SUM(M19:M20)</f>
        <v>0</v>
      </c>
      <c r="R23" s="11"/>
      <c r="T23" s="3"/>
    </row>
    <row r="24" spans="2:20" ht="17.25" customHeight="1">
      <c r="B24" s="561"/>
      <c r="C24" s="554"/>
      <c r="D24" s="554"/>
      <c r="E24" s="554"/>
      <c r="F24" s="554"/>
      <c r="G24" s="554"/>
      <c r="H24" s="554"/>
      <c r="I24" s="134"/>
      <c r="J24" s="100"/>
      <c r="K24" s="115"/>
      <c r="L24" s="17"/>
      <c r="M24" s="115"/>
      <c r="N24" s="115"/>
      <c r="O24" s="115"/>
      <c r="Q24" s="117"/>
      <c r="R24" s="11"/>
      <c r="T24" s="3"/>
    </row>
    <row r="25" spans="2:20" ht="30" customHeight="1">
      <c r="B25" s="700" t="str">
        <f>Texte!A124</f>
        <v>Non-recours aux insecticides et aux acaricides dans les cultures maraîchères et les cultures de petits fruits</v>
      </c>
      <c r="C25" s="701"/>
      <c r="D25" s="701"/>
      <c r="E25" s="701"/>
      <c r="F25" s="701"/>
      <c r="G25" s="701"/>
      <c r="H25" s="292" t="s">
        <v>922</v>
      </c>
      <c r="I25" s="134"/>
      <c r="J25" s="100"/>
      <c r="K25" s="115"/>
      <c r="L25" s="17"/>
      <c r="M25" s="115"/>
      <c r="N25" s="115"/>
      <c r="O25" s="115"/>
      <c r="P25" s="23"/>
      <c r="Q25" s="117"/>
      <c r="R25" s="11"/>
      <c r="T25" s="3"/>
    </row>
    <row r="26" spans="2:20" s="247" customFormat="1" ht="30" customHeight="1">
      <c r="B26" s="570"/>
      <c r="C26" s="645" t="str">
        <f>Texte!A125</f>
        <v>Cultures maraîchères de plein champ annuelles et cultures annuelles de petits fruits</v>
      </c>
      <c r="D26" s="645"/>
      <c r="E26" s="645"/>
      <c r="F26" s="645"/>
      <c r="G26" s="645"/>
      <c r="H26" s="645"/>
      <c r="I26" s="571">
        <v>1000</v>
      </c>
      <c r="J26" s="233" t="s">
        <v>140</v>
      </c>
      <c r="K26" s="606"/>
      <c r="L26" s="233" t="s">
        <v>141</v>
      </c>
      <c r="M26" s="232">
        <f>I26*K26</f>
        <v>0</v>
      </c>
      <c r="N26" s="572"/>
      <c r="O26" s="572"/>
      <c r="P26" s="233"/>
      <c r="Q26" s="299"/>
      <c r="R26" s="15"/>
      <c r="T26" s="573"/>
    </row>
    <row r="27" spans="2:20" ht="12.75" customHeight="1">
      <c r="B27" s="561"/>
      <c r="C27" s="554"/>
      <c r="D27" s="554"/>
      <c r="E27" s="554"/>
      <c r="F27" s="554"/>
      <c r="G27" s="554"/>
      <c r="H27" s="554"/>
      <c r="I27" s="134"/>
      <c r="J27" s="100"/>
      <c r="K27" s="115"/>
      <c r="L27" s="17"/>
      <c r="M27" s="115"/>
      <c r="N27" s="115"/>
      <c r="O27" s="115"/>
      <c r="P27" s="23"/>
      <c r="Q27" s="117"/>
      <c r="R27" s="11"/>
      <c r="T27" s="3"/>
    </row>
    <row r="28" spans="2:20" ht="12.75" customHeight="1">
      <c r="B28" s="561"/>
      <c r="C28" s="697" t="str">
        <f>Texte!A493</f>
        <v>b) - Aucune contribution n’est versée pour les légumes de conserve de plein champ</v>
      </c>
      <c r="D28" s="697"/>
      <c r="E28" s="697"/>
      <c r="F28" s="697"/>
      <c r="G28" s="697"/>
      <c r="H28" s="697"/>
      <c r="I28" s="134"/>
      <c r="J28" s="100"/>
      <c r="K28" s="115"/>
      <c r="L28" s="17"/>
      <c r="M28" s="115"/>
      <c r="N28" s="115"/>
      <c r="O28" s="115" t="str">
        <f>Texte!A252</f>
        <v>Somme contributions</v>
      </c>
      <c r="P28" s="23"/>
      <c r="Q28" s="117"/>
      <c r="R28" s="11"/>
      <c r="T28" s="3"/>
    </row>
    <row r="29" spans="2:20" ht="17.25" customHeight="1">
      <c r="B29" s="561"/>
      <c r="C29" s="697"/>
      <c r="D29" s="697"/>
      <c r="E29" s="697"/>
      <c r="F29" s="697"/>
      <c r="G29" s="697"/>
      <c r="H29" s="697"/>
      <c r="I29" s="134"/>
      <c r="J29" s="100"/>
      <c r="K29" s="115"/>
      <c r="L29" s="17"/>
      <c r="M29" s="115"/>
      <c r="N29" s="115"/>
      <c r="O29" s="115"/>
      <c r="P29" s="23" t="s">
        <v>141</v>
      </c>
      <c r="Q29" s="52">
        <f>M26</f>
        <v>0</v>
      </c>
      <c r="R29" s="11"/>
      <c r="T29" s="3"/>
    </row>
    <row r="30" spans="2:20" ht="30" customHeight="1">
      <c r="B30" s="700" t="str">
        <f>Texte!A126</f>
        <v>Non-recours aux insecticides, aux acaricides et aux fongicides dans les cultures pérennes après la floraison</v>
      </c>
      <c r="C30" s="701"/>
      <c r="D30" s="701"/>
      <c r="E30" s="701"/>
      <c r="F30" s="701"/>
      <c r="G30" s="701"/>
      <c r="H30" s="576"/>
      <c r="I30" s="134"/>
      <c r="J30" s="100"/>
      <c r="K30" s="115"/>
      <c r="L30" s="17"/>
      <c r="M30" s="115"/>
      <c r="N30" s="115"/>
      <c r="O30" s="115"/>
      <c r="P30" s="23"/>
      <c r="Q30" s="117"/>
      <c r="R30" s="11"/>
      <c r="T30" s="3"/>
    </row>
    <row r="31" spans="2:20" s="247" customFormat="1" ht="30" customHeight="1">
      <c r="B31" s="570"/>
      <c r="C31" s="645" t="str">
        <f>Texte!A127</f>
        <v>Arboriculture fruitière, pour les vergers au sens de l’art. 22, al. 2, Oterm, viticulture, culture de petits fruits</v>
      </c>
      <c r="D31" s="645"/>
      <c r="E31" s="645"/>
      <c r="F31" s="645"/>
      <c r="G31" s="645"/>
      <c r="H31" s="645"/>
      <c r="I31" s="571">
        <v>1100</v>
      </c>
      <c r="J31" s="233" t="s">
        <v>140</v>
      </c>
      <c r="K31" s="234"/>
      <c r="L31" s="233" t="s">
        <v>141</v>
      </c>
      <c r="M31" s="232">
        <f>I31*K31</f>
        <v>0</v>
      </c>
      <c r="N31" s="572"/>
      <c r="O31" s="572"/>
      <c r="P31" s="233"/>
      <c r="Q31" s="299"/>
      <c r="R31" s="15"/>
      <c r="T31" s="573"/>
    </row>
    <row r="32" spans="2:20" ht="12.75" customHeight="1">
      <c r="B32" s="561"/>
      <c r="C32" s="554"/>
      <c r="D32" s="554"/>
      <c r="E32" s="554"/>
      <c r="F32" s="554"/>
      <c r="G32" s="554"/>
      <c r="H32" s="554"/>
      <c r="I32" s="134"/>
      <c r="J32" s="100"/>
      <c r="K32" s="115"/>
      <c r="L32" s="17"/>
      <c r="M32" s="115"/>
      <c r="N32" s="115"/>
      <c r="O32" s="115"/>
      <c r="P32" s="23"/>
      <c r="Q32" s="117"/>
      <c r="R32" s="11"/>
      <c r="T32" s="3"/>
    </row>
    <row r="33" spans="2:20" ht="12.75" customHeight="1">
      <c r="B33" s="561"/>
      <c r="C33" s="554"/>
      <c r="D33" s="554"/>
      <c r="E33" s="554"/>
      <c r="F33" s="554"/>
      <c r="G33" s="554"/>
      <c r="H33" s="554"/>
      <c r="I33" s="134"/>
      <c r="J33" s="100"/>
      <c r="K33" s="115"/>
      <c r="L33" s="17"/>
      <c r="M33" s="115"/>
      <c r="N33" s="115"/>
      <c r="O33" s="115" t="str">
        <f>Texte!A252</f>
        <v>Somme contributions</v>
      </c>
      <c r="P33" s="23"/>
      <c r="Q33" s="117"/>
      <c r="R33" s="11"/>
      <c r="T33" s="3"/>
    </row>
    <row r="34" spans="2:20" ht="17.25" customHeight="1">
      <c r="B34" s="561"/>
      <c r="C34" s="554"/>
      <c r="D34" s="554"/>
      <c r="E34" s="554"/>
      <c r="F34" s="554"/>
      <c r="G34" s="554"/>
      <c r="H34" s="554"/>
      <c r="I34" s="134"/>
      <c r="J34" s="100"/>
      <c r="K34" s="115"/>
      <c r="L34" s="17"/>
      <c r="M34" s="115"/>
      <c r="N34" s="115"/>
      <c r="O34" s="115"/>
      <c r="P34" s="23" t="s">
        <v>141</v>
      </c>
      <c r="Q34" s="52">
        <f>M31</f>
        <v>0</v>
      </c>
      <c r="R34" s="11"/>
      <c r="T34" s="3"/>
    </row>
    <row r="35" spans="2:20" ht="30" customHeight="1">
      <c r="B35" s="700" t="str">
        <f>Texte!A128</f>
        <v>Exploitation de surfaces de cultures pérennes à l’aide d’intrants conformes à l’agriculture biologique</v>
      </c>
      <c r="C35" s="701"/>
      <c r="D35" s="701"/>
      <c r="E35" s="701"/>
      <c r="F35" s="701"/>
      <c r="G35" s="701"/>
      <c r="H35" s="575" t="s">
        <v>920</v>
      </c>
      <c r="I35" s="575"/>
      <c r="J35" s="100"/>
      <c r="K35" s="115"/>
      <c r="L35" s="17"/>
      <c r="M35" s="115"/>
      <c r="N35" s="115"/>
      <c r="O35" s="115"/>
      <c r="P35" s="23"/>
      <c r="Q35" s="117"/>
      <c r="R35" s="11"/>
      <c r="T35" s="3"/>
    </row>
    <row r="36" spans="2:20" s="247" customFormat="1" ht="50.1" customHeight="1">
      <c r="B36" s="570"/>
      <c r="C36" s="645" t="str">
        <f>Texte!A129</f>
        <v>Arboriculture fruitière, pour les vergers au sens de l’art. 22, al. 2, Oterm, viticulture, culture de petits fruits, permaculture exploitées à l’aide d’intrants conformes à l’agriculture biologique</v>
      </c>
      <c r="D36" s="645"/>
      <c r="E36" s="645"/>
      <c r="F36" s="645"/>
      <c r="G36" s="645"/>
      <c r="H36" s="645"/>
      <c r="I36" s="571">
        <v>1600</v>
      </c>
      <c r="J36" s="233" t="s">
        <v>140</v>
      </c>
      <c r="K36" s="234"/>
      <c r="L36" s="233" t="s">
        <v>141</v>
      </c>
      <c r="M36" s="232">
        <f>I36*K36</f>
        <v>0</v>
      </c>
      <c r="N36" s="572"/>
      <c r="O36" s="572"/>
      <c r="P36" s="233"/>
      <c r="Q36" s="299"/>
      <c r="R36" s="15"/>
      <c r="T36" s="573"/>
    </row>
    <row r="37" spans="2:20" ht="12.75" customHeight="1">
      <c r="B37" s="561"/>
      <c r="C37" s="554"/>
      <c r="D37" s="554"/>
      <c r="E37" s="554"/>
      <c r="F37" s="554"/>
      <c r="G37" s="554"/>
      <c r="H37" s="554"/>
      <c r="I37" s="134"/>
      <c r="J37" s="100"/>
      <c r="K37" s="115"/>
      <c r="L37" s="17"/>
      <c r="M37" s="115"/>
      <c r="N37" s="115"/>
      <c r="O37" s="115"/>
      <c r="P37" s="23"/>
      <c r="Q37" s="117"/>
      <c r="R37" s="11"/>
      <c r="T37" s="3"/>
    </row>
    <row r="38" spans="2:20" ht="12.75" customHeight="1">
      <c r="B38" s="561"/>
      <c r="C38" s="697" t="str">
        <f>Texte!A494</f>
        <v>c) - Aucune contribution n’est octroyée pour les surfaces pour lesquelles une contribution pour l'agriculture biologique est versée</v>
      </c>
      <c r="D38" s="697"/>
      <c r="E38" s="697"/>
      <c r="F38" s="697"/>
      <c r="G38" s="697"/>
      <c r="H38" s="697"/>
      <c r="I38" s="134"/>
      <c r="J38" s="100"/>
      <c r="K38" s="115"/>
      <c r="L38" s="17"/>
      <c r="M38" s="115"/>
      <c r="N38" s="115"/>
      <c r="O38" s="115" t="str">
        <f>Texte!A252</f>
        <v>Somme contributions</v>
      </c>
      <c r="P38" s="23"/>
      <c r="Q38" s="117"/>
      <c r="R38" s="11"/>
      <c r="T38" s="3"/>
    </row>
    <row r="39" spans="2:20" ht="17.25" customHeight="1">
      <c r="B39" s="561"/>
      <c r="C39" s="697"/>
      <c r="D39" s="697"/>
      <c r="E39" s="697"/>
      <c r="F39" s="697"/>
      <c r="G39" s="697"/>
      <c r="H39" s="697"/>
      <c r="I39" s="134"/>
      <c r="J39" s="100"/>
      <c r="K39" s="115"/>
      <c r="L39" s="17"/>
      <c r="M39" s="115"/>
      <c r="N39" s="115"/>
      <c r="O39" s="115"/>
      <c r="P39" s="23" t="s">
        <v>141</v>
      </c>
      <c r="Q39" s="52">
        <f>M36</f>
        <v>0</v>
      </c>
      <c r="R39" s="11"/>
      <c r="T39" s="3"/>
    </row>
    <row r="40" spans="2:20" ht="30" customHeight="1">
      <c r="B40" s="700" t="str">
        <f>Texte!A130</f>
        <v>Non-recours aux herbicides dans les grandes cultures et les cultures spéciales</v>
      </c>
      <c r="C40" s="701"/>
      <c r="D40" s="701"/>
      <c r="E40" s="701"/>
      <c r="F40" s="701"/>
      <c r="G40" s="701"/>
      <c r="H40" s="292" t="s">
        <v>921</v>
      </c>
      <c r="I40" s="134"/>
      <c r="J40" s="100"/>
      <c r="K40" s="115"/>
      <c r="L40" s="17"/>
      <c r="M40" s="115"/>
      <c r="N40" s="115"/>
      <c r="O40" s="115"/>
      <c r="P40" s="23"/>
      <c r="Q40" s="117"/>
      <c r="R40" s="11"/>
      <c r="T40" s="3"/>
    </row>
    <row r="41" spans="2:20" s="247" customFormat="1" ht="17.25" customHeight="1">
      <c r="B41" s="570"/>
      <c r="C41" s="143" t="str">
        <f>Texte!A131</f>
        <v>Colza, pommes de terre et légumes de conserve de plein champ</v>
      </c>
      <c r="D41" s="618"/>
      <c r="E41" s="618"/>
      <c r="F41" s="618"/>
      <c r="G41" s="618"/>
      <c r="H41" s="618"/>
      <c r="I41" s="571">
        <v>600</v>
      </c>
      <c r="J41" s="233" t="s">
        <v>140</v>
      </c>
      <c r="K41" s="606"/>
      <c r="L41" s="233" t="s">
        <v>141</v>
      </c>
      <c r="M41" s="232">
        <f>I41*K41</f>
        <v>0</v>
      </c>
      <c r="N41" s="572"/>
      <c r="O41" s="572"/>
      <c r="P41" s="233"/>
      <c r="Q41" s="299"/>
      <c r="R41" s="15"/>
      <c r="T41" s="573"/>
    </row>
    <row r="42" spans="2:20" s="247" customFormat="1" ht="30" customHeight="1">
      <c r="B42" s="570"/>
      <c r="C42" s="645" t="str">
        <f>Texte!A132</f>
        <v>Cultures spéciales, à l’exception du tabac et des racines de chicorées</v>
      </c>
      <c r="D42" s="645"/>
      <c r="E42" s="645"/>
      <c r="F42" s="645"/>
      <c r="G42" s="645"/>
      <c r="H42" s="645"/>
      <c r="I42" s="571">
        <v>1000</v>
      </c>
      <c r="J42" s="233" t="s">
        <v>140</v>
      </c>
      <c r="K42" s="606"/>
      <c r="L42" s="233" t="s">
        <v>141</v>
      </c>
      <c r="M42" s="232">
        <f t="shared" ref="M42:M43" si="0">I42*K42</f>
        <v>0</v>
      </c>
      <c r="N42" s="572"/>
      <c r="O42" s="572"/>
      <c r="P42" s="233"/>
      <c r="Q42" s="299"/>
      <c r="R42" s="15"/>
      <c r="T42" s="573"/>
    </row>
    <row r="43" spans="2:20" s="247" customFormat="1" ht="17.25" customHeight="1">
      <c r="B43" s="570"/>
      <c r="C43" s="143" t="str">
        <f>Texte!A133</f>
        <v>Cultures principales sur les autres terres ouvertes</v>
      </c>
      <c r="D43" s="618"/>
      <c r="E43" s="618"/>
      <c r="F43" s="618"/>
      <c r="G43" s="618"/>
      <c r="H43" s="618"/>
      <c r="I43" s="571">
        <v>250</v>
      </c>
      <c r="J43" s="233" t="s">
        <v>140</v>
      </c>
      <c r="K43" s="606"/>
      <c r="L43" s="233" t="s">
        <v>141</v>
      </c>
      <c r="M43" s="232">
        <f t="shared" si="0"/>
        <v>0</v>
      </c>
      <c r="N43" s="572"/>
      <c r="O43" s="572"/>
      <c r="P43" s="233"/>
      <c r="Q43" s="299"/>
      <c r="R43" s="15"/>
      <c r="T43" s="573"/>
    </row>
    <row r="44" spans="2:20" ht="12.75" customHeight="1">
      <c r="B44" s="561"/>
      <c r="C44" s="554"/>
      <c r="D44" s="554"/>
      <c r="E44" s="554"/>
      <c r="F44" s="554"/>
      <c r="G44" s="554"/>
      <c r="H44" s="554"/>
      <c r="I44" s="134"/>
      <c r="J44" s="100"/>
      <c r="K44" s="115"/>
      <c r="L44" s="17"/>
      <c r="M44" s="115"/>
      <c r="N44" s="115"/>
      <c r="O44" s="115"/>
      <c r="P44" s="23"/>
      <c r="Q44" s="117"/>
      <c r="R44" s="11"/>
      <c r="T44" s="3"/>
    </row>
    <row r="45" spans="2:20" ht="24.95" customHeight="1">
      <c r="B45" s="561"/>
      <c r="C45" s="697" t="str">
        <f>Texte!A495</f>
        <v>d) - Aucune contribution n’est versée pour les surfaces de promotion de la biodiversité selon l’art. 55 (à l’exception des céréales en lignes de semis espacées), les bandes semées pour organismes utiles dans les terres ouvertes selon l’art. 71b, al. 1, let. a, la culture de champignons, les surfaces cultivées toute l’année sous abri</v>
      </c>
      <c r="D45" s="697"/>
      <c r="E45" s="697"/>
      <c r="F45" s="697"/>
      <c r="G45" s="697"/>
      <c r="H45" s="697"/>
      <c r="I45" s="134"/>
      <c r="J45" s="100"/>
      <c r="K45" s="115"/>
      <c r="L45" s="17"/>
      <c r="M45" s="115"/>
      <c r="N45" s="115"/>
      <c r="O45" s="115" t="str">
        <f>Texte!A252</f>
        <v>Somme contributions</v>
      </c>
      <c r="P45" s="23"/>
      <c r="Q45" s="117"/>
      <c r="R45" s="11"/>
      <c r="T45" s="3"/>
    </row>
    <row r="46" spans="2:20" ht="24.95" customHeight="1">
      <c r="B46" s="561"/>
      <c r="C46" s="697"/>
      <c r="D46" s="697"/>
      <c r="E46" s="697"/>
      <c r="F46" s="697"/>
      <c r="G46" s="697"/>
      <c r="H46" s="697"/>
      <c r="I46" s="134"/>
      <c r="J46" s="100"/>
      <c r="K46" s="115"/>
      <c r="L46" s="17"/>
      <c r="M46" s="115"/>
      <c r="N46" s="115"/>
      <c r="O46" s="115"/>
      <c r="P46" s="23" t="s">
        <v>141</v>
      </c>
      <c r="Q46" s="52">
        <f>SUM(M41:M43)</f>
        <v>0</v>
      </c>
      <c r="R46" s="11"/>
      <c r="T46" s="3"/>
    </row>
    <row r="47" spans="2:20" ht="20.100000000000001" customHeight="1">
      <c r="B47" s="561"/>
      <c r="C47" s="574"/>
      <c r="D47" s="574"/>
      <c r="E47" s="574"/>
      <c r="F47" s="574"/>
      <c r="G47" s="574"/>
      <c r="H47" s="574"/>
      <c r="I47" s="134"/>
      <c r="J47" s="100"/>
      <c r="K47" s="115"/>
      <c r="L47" s="17"/>
      <c r="M47" s="115"/>
      <c r="N47" s="115"/>
      <c r="O47" s="115"/>
      <c r="P47" s="23"/>
      <c r="Q47" s="117"/>
      <c r="R47" s="11"/>
      <c r="T47" s="3"/>
    </row>
    <row r="48" spans="2:20" ht="20.100000000000001" customHeight="1">
      <c r="B48" s="588" t="str">
        <f>Texte!A496</f>
        <v xml:space="preserve">Biodiversité fonctionnelle </v>
      </c>
      <c r="C48" s="589"/>
      <c r="D48" s="589"/>
      <c r="E48" s="589"/>
      <c r="F48" s="589"/>
      <c r="G48" s="589"/>
      <c r="H48" s="589"/>
      <c r="I48" s="582"/>
      <c r="J48" s="583"/>
      <c r="K48" s="584"/>
      <c r="L48" s="585"/>
      <c r="M48" s="584"/>
      <c r="N48" s="584"/>
      <c r="O48" s="584"/>
      <c r="P48" s="586"/>
      <c r="Q48" s="587"/>
      <c r="R48" s="11"/>
      <c r="T48" s="3"/>
    </row>
    <row r="49" spans="2:20" ht="20.45" customHeight="1">
      <c r="B49" s="561" t="str">
        <f>Texte!A134</f>
        <v>Bandes semées pour organismes utiles</v>
      </c>
      <c r="C49" s="554"/>
      <c r="D49" s="554"/>
      <c r="E49" s="554"/>
      <c r="F49" s="554"/>
      <c r="G49" s="554"/>
      <c r="H49" s="554"/>
      <c r="I49" s="134"/>
      <c r="J49" s="100"/>
      <c r="K49" s="115"/>
      <c r="L49" s="17"/>
      <c r="M49" s="115"/>
      <c r="N49" s="115"/>
      <c r="O49" s="115"/>
      <c r="P49" s="23"/>
      <c r="Q49" s="117"/>
      <c r="R49" s="11"/>
      <c r="T49" s="3"/>
    </row>
    <row r="50" spans="2:20" ht="17.25" customHeight="1">
      <c r="B50" s="561"/>
      <c r="C50" s="17" t="str">
        <f>Texte!A135</f>
        <v>Bandes semées pour organismes utiles dans les terres ouvertes</v>
      </c>
      <c r="D50" s="554"/>
      <c r="E50" s="554"/>
      <c r="F50" s="554"/>
      <c r="G50" s="554"/>
      <c r="H50" s="554"/>
      <c r="I50" s="94">
        <v>3300</v>
      </c>
      <c r="J50" s="23" t="s">
        <v>140</v>
      </c>
      <c r="K50" s="555"/>
      <c r="L50" s="23" t="s">
        <v>141</v>
      </c>
      <c r="M50" s="39">
        <f>I50*K50</f>
        <v>0</v>
      </c>
      <c r="N50" s="115"/>
      <c r="O50" s="115"/>
      <c r="P50" s="23"/>
      <c r="Q50" s="117"/>
      <c r="R50" s="11"/>
      <c r="T50" s="3"/>
    </row>
    <row r="51" spans="2:20" s="247" customFormat="1" ht="30" customHeight="1">
      <c r="B51" s="570"/>
      <c r="C51" s="645" t="str">
        <f>Texte!A136</f>
        <v>Bandes semées pour organismes utiles dans les cultures pérennes (vigne, culture fruitière, culture de petits fruits, permaculture)</v>
      </c>
      <c r="D51" s="645"/>
      <c r="E51" s="645"/>
      <c r="F51" s="645"/>
      <c r="G51" s="645"/>
      <c r="H51" s="292" t="s">
        <v>1364</v>
      </c>
      <c r="I51" s="571">
        <v>4000</v>
      </c>
      <c r="J51" s="233" t="s">
        <v>140</v>
      </c>
      <c r="K51" s="234"/>
      <c r="L51" s="233" t="s">
        <v>140</v>
      </c>
      <c r="M51" s="601">
        <v>0.05</v>
      </c>
      <c r="N51" s="602" t="s">
        <v>141</v>
      </c>
      <c r="O51" s="232">
        <f>I51*K51*M51</f>
        <v>0</v>
      </c>
      <c r="P51" s="233"/>
      <c r="Q51" s="299"/>
      <c r="R51" s="15"/>
      <c r="T51" s="573"/>
    </row>
    <row r="52" spans="2:20" ht="12.75" customHeight="1">
      <c r="B52" s="561"/>
      <c r="C52" s="17"/>
      <c r="D52" s="554"/>
      <c r="E52" s="554"/>
      <c r="F52" s="554"/>
      <c r="G52" s="554"/>
      <c r="H52" s="554"/>
      <c r="I52" s="50"/>
      <c r="J52" s="23"/>
      <c r="K52" s="115"/>
      <c r="L52" s="23"/>
      <c r="M52" s="40"/>
      <c r="N52" s="115"/>
      <c r="O52" s="115"/>
      <c r="P52" s="23"/>
      <c r="Q52" s="117"/>
      <c r="R52" s="11"/>
      <c r="T52" s="3"/>
    </row>
    <row r="53" spans="2:20" ht="20.100000000000001" customHeight="1">
      <c r="B53" s="561"/>
      <c r="C53" s="697" t="str">
        <f>Texte!A499</f>
        <v>e) - Aucune contribution n’est versée pour les bandes semées pour organismes utiles, dans le cas des surfaces viticoles présentant une biodiversité naturelle selon l’art. 55, al. 1, let. n, et des surfaces de promotion de la biodiversité spécifiques à la région selon l’art. 55, al. 1, let. p</v>
      </c>
      <c r="D53" s="697"/>
      <c r="E53" s="697"/>
      <c r="F53" s="697"/>
      <c r="G53" s="697"/>
      <c r="H53" s="697"/>
      <c r="I53" s="134"/>
      <c r="J53" s="100"/>
      <c r="K53" s="115"/>
      <c r="L53" s="17"/>
      <c r="M53" s="115"/>
      <c r="N53" s="115"/>
      <c r="O53" s="115" t="str">
        <f>Texte!A252</f>
        <v>Somme contributions</v>
      </c>
      <c r="P53" s="23"/>
      <c r="Q53" s="117"/>
      <c r="R53" s="11"/>
      <c r="T53" s="3"/>
    </row>
    <row r="54" spans="2:20" ht="20.100000000000001" customHeight="1">
      <c r="B54" s="561"/>
      <c r="C54" s="697"/>
      <c r="D54" s="697"/>
      <c r="E54" s="697"/>
      <c r="F54" s="697"/>
      <c r="G54" s="697"/>
      <c r="H54" s="697"/>
      <c r="I54" s="134"/>
      <c r="J54" s="100"/>
      <c r="K54" s="115"/>
      <c r="L54" s="17"/>
      <c r="M54" s="115"/>
      <c r="N54" s="115"/>
      <c r="O54" s="115"/>
      <c r="P54" s="23" t="s">
        <v>141</v>
      </c>
      <c r="Q54" s="52">
        <f>M50+O51</f>
        <v>0</v>
      </c>
      <c r="R54" s="11"/>
      <c r="T54" s="3"/>
    </row>
    <row r="55" spans="2:20" ht="17.25" customHeight="1">
      <c r="B55" s="561"/>
      <c r="C55" s="566"/>
      <c r="D55" s="566"/>
      <c r="E55" s="566"/>
      <c r="F55" s="566"/>
      <c r="G55" s="566"/>
      <c r="H55" s="566"/>
      <c r="I55" s="134"/>
      <c r="J55" s="100"/>
      <c r="K55" s="115"/>
      <c r="L55" s="17"/>
      <c r="M55" s="115"/>
      <c r="N55" s="115"/>
      <c r="O55" s="115"/>
      <c r="P55" s="23"/>
      <c r="Q55" s="117"/>
      <c r="R55" s="11"/>
      <c r="T55" s="3"/>
    </row>
    <row r="56" spans="2:20" ht="17.25" customHeight="1">
      <c r="B56" s="580" t="str">
        <f>Texte!A137</f>
        <v>Amélioration de la fertilité du sol</v>
      </c>
      <c r="C56" s="581"/>
      <c r="D56" s="581"/>
      <c r="E56" s="581"/>
      <c r="F56" s="581"/>
      <c r="G56" s="581"/>
      <c r="H56" s="581"/>
      <c r="I56" s="582"/>
      <c r="J56" s="583"/>
      <c r="K56" s="584"/>
      <c r="L56" s="585"/>
      <c r="M56" s="584"/>
      <c r="N56" s="584"/>
      <c r="O56" s="584"/>
      <c r="P56" s="586"/>
      <c r="Q56" s="587"/>
      <c r="R56" s="11"/>
      <c r="T56" s="3"/>
    </row>
    <row r="57" spans="2:20" ht="16.5" customHeight="1">
      <c r="B57" s="561" t="str">
        <f>Texte!A138</f>
        <v>Couverture appropriée du sol</v>
      </c>
      <c r="D57" s="554"/>
      <c r="E57" s="554"/>
      <c r="F57" s="554"/>
      <c r="G57" s="554"/>
      <c r="H57" s="554"/>
      <c r="I57" s="134"/>
      <c r="J57" s="100"/>
      <c r="K57" s="115"/>
      <c r="L57" s="17"/>
      <c r="M57" s="115"/>
      <c r="N57" s="115"/>
      <c r="O57" s="115"/>
      <c r="P57" s="23"/>
      <c r="Q57" s="117"/>
      <c r="R57" s="11"/>
      <c r="T57" s="3"/>
    </row>
    <row r="58" spans="2:20" s="247" customFormat="1" ht="39.950000000000003" customHeight="1">
      <c r="B58" s="570"/>
      <c r="C58" s="694" t="str">
        <f>Texte!A139</f>
        <v>Cultures principales sur terres ouvertes (à l’exception des cultures annuelles de légumes de plein champ et des cultures annuelles de petits fruits, ainsi que des plantes aromatiques et médicinales)</v>
      </c>
      <c r="D58" s="694"/>
      <c r="E58" s="694"/>
      <c r="F58" s="694"/>
      <c r="G58" s="694"/>
      <c r="H58" s="628" t="s">
        <v>1369</v>
      </c>
      <c r="I58" s="571">
        <v>250</v>
      </c>
      <c r="J58" s="233" t="s">
        <v>140</v>
      </c>
      <c r="K58" s="234"/>
      <c r="L58" s="233" t="s">
        <v>141</v>
      </c>
      <c r="M58" s="232">
        <f>I58*K58</f>
        <v>0</v>
      </c>
      <c r="N58" s="572"/>
      <c r="O58" s="572"/>
      <c r="P58" s="233"/>
      <c r="Q58" s="299"/>
      <c r="R58" s="15"/>
      <c r="T58" s="573"/>
    </row>
    <row r="59" spans="2:20" s="247" customFormat="1" ht="39.950000000000003" customHeight="1">
      <c r="B59" s="570"/>
      <c r="C59" s="694" t="str">
        <f>Texte!A140</f>
        <v>Cultures annuelles de légumes de plein champ (à l’exception des légumes de conserve de plein champ), cultures annuelles de petits fruits, plantes aromatiques et médicinales sur les terres ouvertes</v>
      </c>
      <c r="D59" s="694"/>
      <c r="E59" s="694"/>
      <c r="F59" s="694"/>
      <c r="G59" s="694"/>
      <c r="H59" s="628" t="s">
        <v>1434</v>
      </c>
      <c r="I59" s="571">
        <v>1000</v>
      </c>
      <c r="J59" s="233" t="s">
        <v>140</v>
      </c>
      <c r="K59" s="625"/>
      <c r="L59" s="233" t="s">
        <v>141</v>
      </c>
      <c r="M59" s="232">
        <f>I59*K59</f>
        <v>0</v>
      </c>
      <c r="N59" s="572"/>
      <c r="O59" s="572"/>
      <c r="P59" s="233"/>
      <c r="Q59" s="299"/>
      <c r="R59" s="15"/>
      <c r="T59" s="573"/>
    </row>
    <row r="60" spans="2:20" s="247" customFormat="1" ht="20.100000000000001" customHeight="1">
      <c r="B60" s="570"/>
      <c r="C60" s="694" t="str">
        <f>Texte!A141</f>
        <v>Vigne</v>
      </c>
      <c r="D60" s="694"/>
      <c r="E60" s="694"/>
      <c r="F60" s="694"/>
      <c r="G60" s="694"/>
      <c r="H60" s="628" t="s">
        <v>1435</v>
      </c>
      <c r="I60" s="571">
        <v>1000</v>
      </c>
      <c r="J60" s="233" t="s">
        <v>140</v>
      </c>
      <c r="K60" s="234"/>
      <c r="L60" s="233" t="s">
        <v>141</v>
      </c>
      <c r="M60" s="232">
        <f>I60*K60</f>
        <v>0</v>
      </c>
      <c r="N60" s="572"/>
      <c r="O60" s="572"/>
      <c r="P60" s="233"/>
      <c r="Q60" s="299"/>
      <c r="R60" s="15"/>
      <c r="T60" s="573"/>
    </row>
    <row r="61" spans="2:20" ht="50.1" customHeight="1">
      <c r="B61" s="561"/>
      <c r="C61" s="695" t="str">
        <f>Texte!A506</f>
        <v>f) - si, dans un délai de sept semaines après la récolte dans l’ensemble de l’exploitation, une autre culture, une culture d’automne, une culture intercalaire ou un engrais vert sont mis en place, et si aucun travail du sol n’est réalisé sur les surfaces où sont aménagées des cultures, cultures intercalaires et engrais verts jusqu’au 15 février de l’année suivante</v>
      </c>
      <c r="D61" s="695"/>
      <c r="E61" s="695"/>
      <c r="F61" s="695"/>
      <c r="G61" s="695"/>
      <c r="H61" s="626"/>
      <c r="I61" s="626"/>
      <c r="J61" s="23"/>
      <c r="K61" s="115"/>
      <c r="L61" s="23"/>
      <c r="M61" s="40"/>
      <c r="N61" s="115"/>
      <c r="O61" s="115"/>
      <c r="P61" s="23"/>
      <c r="Q61" s="117"/>
      <c r="R61" s="11"/>
      <c r="T61" s="3"/>
    </row>
    <row r="62" spans="2:20" ht="30" customHeight="1">
      <c r="B62" s="561"/>
      <c r="C62" s="696" t="str">
        <f>Texte!A507</f>
        <v>g) - si au moins 70 % de la surface concernée dans l’ensemble de l’exploitation est couverte en tout temps par une culture ou par une culture intercalaire</v>
      </c>
      <c r="D62" s="696"/>
      <c r="E62" s="696"/>
      <c r="F62" s="696"/>
      <c r="G62" s="696"/>
      <c r="H62" s="626"/>
      <c r="I62" s="626"/>
      <c r="J62" s="23"/>
      <c r="K62" s="115"/>
      <c r="L62" s="23"/>
      <c r="M62" s="40"/>
      <c r="N62" s="115"/>
      <c r="O62" s="115"/>
      <c r="P62" s="23"/>
      <c r="Q62" s="117"/>
      <c r="R62" s="11"/>
      <c r="T62" s="3"/>
    </row>
    <row r="63" spans="2:20" ht="30" customHeight="1">
      <c r="B63" s="561"/>
      <c r="C63" s="695" t="str">
        <f>Texte!A508</f>
        <v>h) - si dans l’ensemble de l’exploitation, au moins 70 % de la surface de vignes est enherbée, et si le marc est rapporté et épandu sur les surfaces de vignes de l’exploitation</v>
      </c>
      <c r="D63" s="695"/>
      <c r="E63" s="695"/>
      <c r="F63" s="695"/>
      <c r="G63" s="695"/>
      <c r="H63" s="626"/>
      <c r="I63" s="626"/>
      <c r="J63" s="100"/>
      <c r="K63" s="115"/>
      <c r="L63" s="17"/>
      <c r="M63" s="115"/>
      <c r="N63" s="115"/>
      <c r="O63" s="115" t="str">
        <f>Texte!A252</f>
        <v>Somme contributions</v>
      </c>
      <c r="P63" s="23"/>
      <c r="Q63" s="117"/>
      <c r="R63" s="11"/>
      <c r="T63" s="3"/>
    </row>
    <row r="64" spans="2:20" ht="17.25" customHeight="1">
      <c r="B64" s="561"/>
      <c r="D64" s="554"/>
      <c r="E64" s="554"/>
      <c r="F64" s="554"/>
      <c r="G64" s="554"/>
      <c r="H64" s="554"/>
      <c r="I64" s="134"/>
      <c r="J64" s="100"/>
      <c r="K64" s="115"/>
      <c r="L64" s="17"/>
      <c r="M64" s="115"/>
      <c r="N64" s="115"/>
      <c r="O64" s="115"/>
      <c r="P64" s="23" t="s">
        <v>141</v>
      </c>
      <c r="Q64" s="52">
        <f>SUM(M58:M60)</f>
        <v>0</v>
      </c>
      <c r="R64" s="11"/>
      <c r="T64" s="3"/>
    </row>
    <row r="65" spans="2:20" ht="30" customHeight="1">
      <c r="B65" s="700" t="str">
        <f>Texte!A142</f>
        <v>Techniques culturales préservant le sol dans les cultures principales sur terres assolées</v>
      </c>
      <c r="C65" s="701"/>
      <c r="D65" s="701"/>
      <c r="E65" s="701"/>
      <c r="F65" s="701"/>
      <c r="G65" s="701"/>
      <c r="H65" s="554"/>
      <c r="I65" s="134"/>
      <c r="J65" s="100"/>
      <c r="K65" s="115"/>
      <c r="L65" s="17"/>
      <c r="M65" s="115"/>
      <c r="N65" s="115"/>
      <c r="O65" s="115"/>
      <c r="P65" s="23"/>
      <c r="Q65" s="117"/>
      <c r="R65" s="11"/>
      <c r="T65" s="3"/>
    </row>
    <row r="66" spans="2:20" s="247" customFormat="1" ht="30" customHeight="1">
      <c r="B66" s="603"/>
      <c r="C66" s="699" t="str">
        <f>Texte!A143</f>
        <v>Terres assolées en semis direct, semis en bandes fraisées, semis en bandes (strip-till) ou semis sous litière</v>
      </c>
      <c r="D66" s="699"/>
      <c r="E66" s="699"/>
      <c r="F66" s="699"/>
      <c r="G66" s="699"/>
      <c r="H66" s="292" t="s">
        <v>1458</v>
      </c>
      <c r="I66" s="571">
        <v>250</v>
      </c>
      <c r="J66" s="233" t="s">
        <v>140</v>
      </c>
      <c r="K66" s="234"/>
      <c r="L66" s="233" t="s">
        <v>141</v>
      </c>
      <c r="M66" s="232">
        <f>I66*K66</f>
        <v>0</v>
      </c>
      <c r="N66" s="572"/>
      <c r="O66" s="572"/>
      <c r="P66" s="233"/>
      <c r="Q66" s="299"/>
      <c r="R66" s="15"/>
      <c r="T66" s="573"/>
    </row>
    <row r="67" spans="2:20" ht="12.75" customHeight="1">
      <c r="B67" s="553"/>
      <c r="C67" s="554"/>
      <c r="D67" s="554"/>
      <c r="E67" s="554"/>
      <c r="F67" s="554"/>
      <c r="G67" s="554"/>
      <c r="H67" s="554"/>
      <c r="I67" s="134"/>
      <c r="J67" s="100"/>
      <c r="K67" s="115"/>
      <c r="L67" s="17"/>
      <c r="M67" s="115"/>
      <c r="N67" s="115"/>
      <c r="O67" s="115"/>
      <c r="P67" s="23"/>
      <c r="Q67" s="117"/>
      <c r="R67" s="11"/>
      <c r="T67" s="3"/>
    </row>
    <row r="68" spans="2:20" ht="12.75" customHeight="1">
      <c r="B68" s="553"/>
      <c r="C68" s="697" t="str">
        <f>Texte!A500</f>
        <v>i) - Aucune contribution n’est versée pour l’aménagement de prairies temporaires par semis sous litière, de cultures intercalaires, de cultures de blé ou de triticale après le maïs</v>
      </c>
      <c r="D68" s="697"/>
      <c r="E68" s="697"/>
      <c r="F68" s="697"/>
      <c r="G68" s="697"/>
      <c r="H68" s="697"/>
      <c r="I68" s="134"/>
      <c r="J68" s="100"/>
      <c r="K68" s="115"/>
      <c r="L68" s="17"/>
      <c r="M68" s="115"/>
      <c r="N68" s="115"/>
      <c r="O68" s="115" t="str">
        <f>Texte!A252</f>
        <v>Somme contributions</v>
      </c>
      <c r="P68" s="23"/>
      <c r="Q68" s="117"/>
      <c r="R68" s="11"/>
      <c r="T68" s="3"/>
    </row>
    <row r="69" spans="2:20" ht="17.25" customHeight="1">
      <c r="B69" s="553"/>
      <c r="C69" s="697"/>
      <c r="D69" s="697"/>
      <c r="E69" s="697"/>
      <c r="F69" s="697"/>
      <c r="G69" s="697"/>
      <c r="H69" s="697"/>
      <c r="I69" s="134"/>
      <c r="J69" s="100"/>
      <c r="K69" s="115"/>
      <c r="L69" s="17"/>
      <c r="M69" s="115"/>
      <c r="N69" s="115"/>
      <c r="O69" s="115"/>
      <c r="P69" s="23" t="s">
        <v>141</v>
      </c>
      <c r="Q69" s="52">
        <f>M66</f>
        <v>0</v>
      </c>
      <c r="R69" s="11"/>
      <c r="T69" s="3"/>
    </row>
    <row r="70" spans="2:20" ht="17.25" customHeight="1">
      <c r="B70" s="565"/>
      <c r="C70" s="632" t="str">
        <f>Texte!A509</f>
        <v>j) - Les conditions pour la contribution pour une couverture appropriée du sol sont respectées</v>
      </c>
      <c r="D70" s="632"/>
      <c r="E70" s="632"/>
      <c r="F70" s="632"/>
      <c r="G70" s="632"/>
      <c r="H70" s="632"/>
      <c r="I70" s="134"/>
      <c r="J70" s="100"/>
      <c r="K70" s="115"/>
      <c r="L70" s="17"/>
      <c r="M70" s="115"/>
      <c r="N70" s="115"/>
      <c r="O70" s="115"/>
      <c r="P70" s="23"/>
      <c r="Q70" s="117"/>
      <c r="R70" s="11"/>
      <c r="T70" s="3"/>
    </row>
    <row r="71" spans="2:20" ht="24.95" customHeight="1">
      <c r="B71" s="565"/>
      <c r="C71" s="697" t="str">
        <f>Texte!A510</f>
        <v>k) - La surface donnant droit à la contribution représente au moins 60 % de la surface de terres ouvertes de l’exploitation</v>
      </c>
      <c r="D71" s="697"/>
      <c r="E71" s="697"/>
      <c r="F71" s="697"/>
      <c r="G71" s="697"/>
      <c r="H71" s="697"/>
      <c r="I71" s="134"/>
      <c r="J71" s="100"/>
      <c r="K71" s="115"/>
      <c r="L71" s="17"/>
      <c r="M71" s="115"/>
      <c r="N71" s="115"/>
      <c r="O71" s="115"/>
      <c r="P71" s="23"/>
      <c r="Q71" s="117"/>
      <c r="R71" s="11"/>
      <c r="T71" s="3"/>
    </row>
    <row r="72" spans="2:20" ht="17.25" customHeight="1">
      <c r="B72" s="565"/>
      <c r="C72" s="566"/>
      <c r="D72" s="566"/>
      <c r="E72" s="566"/>
      <c r="F72" s="566"/>
      <c r="G72" s="566"/>
      <c r="H72" s="566"/>
      <c r="I72" s="134"/>
      <c r="J72" s="100"/>
      <c r="K72" s="115"/>
      <c r="L72" s="17"/>
      <c r="M72" s="115"/>
      <c r="N72" s="115"/>
      <c r="O72" s="115"/>
      <c r="P72" s="23"/>
      <c r="Q72" s="117"/>
      <c r="R72" s="11"/>
      <c r="T72" s="3"/>
    </row>
    <row r="73" spans="2:20" ht="17.25" customHeight="1">
      <c r="B73" s="580" t="str">
        <f>Texte!A497</f>
        <v xml:space="preserve">Mesures en faveur du climat </v>
      </c>
      <c r="C73" s="581"/>
      <c r="D73" s="581"/>
      <c r="E73" s="581"/>
      <c r="F73" s="581"/>
      <c r="G73" s="581"/>
      <c r="H73" s="581"/>
      <c r="I73" s="582"/>
      <c r="J73" s="583"/>
      <c r="K73" s="584"/>
      <c r="L73" s="585"/>
      <c r="M73" s="584"/>
      <c r="N73" s="584"/>
      <c r="O73" s="584"/>
      <c r="P73" s="586"/>
      <c r="Q73" s="587"/>
      <c r="R73" s="11"/>
      <c r="T73" s="3"/>
    </row>
    <row r="74" spans="2:20" ht="17.25" customHeight="1">
      <c r="B74" s="561" t="str">
        <f>Texte!A144</f>
        <v>Utilisation efficiente de l’azote dans les grandes cultures</v>
      </c>
      <c r="C74" s="554"/>
      <c r="D74" s="554"/>
      <c r="E74" s="554"/>
      <c r="F74" s="554"/>
      <c r="G74" s="554"/>
      <c r="H74" s="554"/>
      <c r="I74" s="134"/>
      <c r="J74" s="100"/>
      <c r="K74" s="115"/>
      <c r="L74" s="17"/>
      <c r="M74" s="115"/>
      <c r="N74" s="115"/>
      <c r="O74" s="115"/>
      <c r="P74" s="23"/>
      <c r="Q74" s="117"/>
      <c r="R74" s="11"/>
      <c r="T74" s="3"/>
    </row>
    <row r="75" spans="2:20" ht="39.950000000000003" customHeight="1">
      <c r="B75" s="561"/>
      <c r="C75" s="693" t="str">
        <f>Texte!A145</f>
        <v>L’apport en azote dans l’ensemble de l’exploitation ne dépasse pas 90 % des besoins des cultures (bilan calculé à l’aide de la méthode «Suisse-Bilanz»)</v>
      </c>
      <c r="D75" s="693"/>
      <c r="E75" s="693"/>
      <c r="F75" s="693"/>
      <c r="G75" s="624"/>
      <c r="H75" s="627"/>
      <c r="I75" s="134"/>
      <c r="J75" s="100"/>
      <c r="K75" s="115"/>
      <c r="L75" s="17"/>
      <c r="M75" s="115"/>
      <c r="N75" s="115"/>
      <c r="O75" s="115"/>
      <c r="P75" s="23"/>
      <c r="Q75" s="117"/>
      <c r="R75" s="11"/>
      <c r="T75" s="3"/>
    </row>
    <row r="76" spans="2:20" ht="17.25" customHeight="1">
      <c r="B76" s="561"/>
      <c r="C76" s="566"/>
      <c r="D76" s="566"/>
      <c r="E76" s="566"/>
      <c r="F76" s="566"/>
      <c r="G76" s="566"/>
      <c r="H76" s="566"/>
      <c r="I76" s="134"/>
      <c r="J76" s="100"/>
      <c r="K76" s="115"/>
      <c r="L76" s="17"/>
      <c r="M76" s="115"/>
      <c r="N76" s="115"/>
      <c r="O76" s="115"/>
      <c r="P76" s="23"/>
      <c r="Q76" s="117"/>
      <c r="R76" s="11"/>
      <c r="T76" s="3"/>
    </row>
    <row r="77" spans="2:20" ht="17.25" customHeight="1">
      <c r="B77" s="553"/>
      <c r="C77" s="184" t="str">
        <f>Texte!A146</f>
        <v>Terres assolées</v>
      </c>
      <c r="D77" s="554"/>
      <c r="E77" s="554"/>
      <c r="F77" s="554"/>
      <c r="G77" s="554"/>
      <c r="H77" s="554"/>
      <c r="I77" s="94">
        <v>100</v>
      </c>
      <c r="J77" s="23" t="s">
        <v>140</v>
      </c>
      <c r="K77" s="625"/>
      <c r="L77" s="23" t="s">
        <v>141</v>
      </c>
      <c r="M77" s="39">
        <f>IF(Texte!D2=2,I77*K77,0)</f>
        <v>0</v>
      </c>
      <c r="N77" s="115"/>
      <c r="O77" s="115"/>
      <c r="P77" s="23"/>
      <c r="Q77" s="117"/>
      <c r="R77" s="11"/>
      <c r="T77" s="3"/>
    </row>
    <row r="78" spans="2:20" ht="12.75" customHeight="1">
      <c r="B78" s="553"/>
      <c r="C78" s="554"/>
      <c r="D78" s="554"/>
      <c r="E78" s="554"/>
      <c r="F78" s="554"/>
      <c r="G78" s="554"/>
      <c r="H78" s="554"/>
      <c r="I78" s="134"/>
      <c r="J78" s="100"/>
      <c r="K78" s="115"/>
      <c r="L78" s="17"/>
      <c r="M78" s="115"/>
      <c r="N78" s="115"/>
      <c r="O78" s="115"/>
      <c r="P78" s="23"/>
      <c r="Q78" s="117"/>
      <c r="R78" s="11"/>
      <c r="T78" s="3"/>
    </row>
    <row r="79" spans="2:20" ht="12.75" customHeight="1">
      <c r="B79" s="553"/>
      <c r="C79" s="554"/>
      <c r="D79" s="554"/>
      <c r="E79" s="554"/>
      <c r="F79" s="554"/>
      <c r="G79" s="554"/>
      <c r="H79" s="554"/>
      <c r="I79" s="134"/>
      <c r="J79" s="100"/>
      <c r="K79" s="115"/>
      <c r="L79" s="17"/>
      <c r="M79" s="115"/>
      <c r="N79" s="115"/>
      <c r="O79" s="115" t="str">
        <f>Texte!A252</f>
        <v>Somme contributions</v>
      </c>
      <c r="P79" s="23"/>
      <c r="Q79" s="117"/>
      <c r="R79" s="11"/>
      <c r="T79" s="3"/>
    </row>
    <row r="80" spans="2:20" ht="17.25" customHeight="1">
      <c r="B80" s="553"/>
      <c r="C80" s="554"/>
      <c r="D80" s="554"/>
      <c r="E80" s="554"/>
      <c r="F80" s="554"/>
      <c r="G80" s="554"/>
      <c r="H80" s="554"/>
      <c r="I80" s="134"/>
      <c r="J80" s="100"/>
      <c r="K80" s="115"/>
      <c r="L80" s="17"/>
      <c r="M80" s="115"/>
      <c r="N80" s="115"/>
      <c r="O80" s="115"/>
      <c r="P80" s="23" t="s">
        <v>141</v>
      </c>
      <c r="Q80" s="52">
        <f>M77</f>
        <v>0</v>
      </c>
      <c r="R80" s="11"/>
      <c r="T80" s="3"/>
    </row>
    <row r="81" spans="2:22" ht="16.5" customHeight="1">
      <c r="B81" s="553"/>
      <c r="C81" s="554"/>
      <c r="D81" s="554"/>
      <c r="E81" s="554"/>
      <c r="F81" s="554"/>
      <c r="G81" s="554"/>
      <c r="H81" s="554"/>
      <c r="I81" s="134"/>
      <c r="J81" s="100"/>
      <c r="K81" s="115"/>
      <c r="L81" s="17"/>
      <c r="M81" s="115"/>
      <c r="N81" s="115"/>
      <c r="O81" s="115"/>
      <c r="P81" s="23"/>
      <c r="Q81" s="117"/>
      <c r="R81" s="11"/>
      <c r="T81" s="3"/>
    </row>
    <row r="82" spans="2:22" s="16" customFormat="1" ht="9.75" customHeight="1">
      <c r="B82" s="209"/>
      <c r="C82" s="17"/>
      <c r="D82" s="17"/>
      <c r="E82" s="17"/>
      <c r="F82" s="17"/>
      <c r="G82" s="17"/>
      <c r="H82" s="17"/>
      <c r="I82" s="17"/>
      <c r="J82" s="17"/>
      <c r="K82" s="114"/>
      <c r="L82" s="17"/>
      <c r="M82" s="23"/>
      <c r="N82" s="23"/>
      <c r="O82" s="23"/>
      <c r="P82" s="38"/>
      <c r="Q82" s="117"/>
      <c r="R82" s="18"/>
      <c r="S82" s="14"/>
      <c r="T82" s="15"/>
      <c r="U82" s="15"/>
    </row>
    <row r="83" spans="2:22" s="186" customFormat="1" ht="16.5" customHeight="1">
      <c r="B83" s="590" t="str">
        <f>Texte!A100</f>
        <v>Production de lait et de viande basée sur les herbages</v>
      </c>
      <c r="C83" s="591"/>
      <c r="D83" s="591"/>
      <c r="E83" s="591"/>
      <c r="F83" s="591"/>
      <c r="G83" s="591"/>
      <c r="H83" s="591"/>
      <c r="I83" s="591"/>
      <c r="J83" s="585"/>
      <c r="K83" s="582"/>
      <c r="L83" s="585"/>
      <c r="M83" s="586"/>
      <c r="N83" s="586"/>
      <c r="O83" s="586"/>
      <c r="P83" s="585"/>
      <c r="Q83" s="587"/>
      <c r="R83" s="14"/>
      <c r="S83" s="14"/>
      <c r="T83" s="15"/>
      <c r="U83" s="15"/>
      <c r="V83" s="16"/>
    </row>
    <row r="84" spans="2:22" s="186" customFormat="1" ht="6" customHeight="1">
      <c r="B84" s="9"/>
      <c r="C84" s="10"/>
      <c r="D84" s="10"/>
      <c r="E84" s="10"/>
      <c r="F84" s="10"/>
      <c r="G84" s="10"/>
      <c r="H84" s="10"/>
      <c r="I84" s="10"/>
      <c r="J84" s="17"/>
      <c r="K84" s="134"/>
      <c r="L84" s="17"/>
      <c r="M84" s="23"/>
      <c r="N84" s="23"/>
      <c r="O84" s="23"/>
      <c r="P84" s="17"/>
      <c r="Q84" s="117"/>
      <c r="R84" s="14"/>
      <c r="S84" s="14"/>
      <c r="T84" s="15"/>
      <c r="U84" s="15"/>
      <c r="V84" s="16"/>
    </row>
    <row r="85" spans="2:22" s="186" customFormat="1" ht="30" customHeight="1" thickBot="1">
      <c r="B85" s="9"/>
      <c r="D85" s="708" t="str">
        <f>Texte!A365</f>
        <v>Surfaces soumises à une charge minimale en bétail (selon saisies dans la page "sécurité de l'approvisionnement")</v>
      </c>
      <c r="E85" s="708"/>
      <c r="F85" s="708"/>
      <c r="G85" s="708"/>
      <c r="H85" s="708"/>
      <c r="I85" s="708"/>
      <c r="J85" s="708"/>
      <c r="K85" s="708"/>
      <c r="L85" s="708"/>
      <c r="M85" s="307"/>
      <c r="N85" s="307"/>
      <c r="O85" s="307"/>
      <c r="P85" s="17"/>
      <c r="Q85" s="117"/>
      <c r="R85" s="14"/>
      <c r="S85" s="14"/>
      <c r="T85" s="15"/>
      <c r="U85" s="15"/>
      <c r="V85" s="16"/>
    </row>
    <row r="86" spans="2:22" s="186" customFormat="1" ht="38.25" customHeight="1">
      <c r="B86" s="9"/>
      <c r="C86" s="17"/>
      <c r="D86" s="649" t="str">
        <f>Texte!A441</f>
        <v>SPB herbagères</v>
      </c>
      <c r="E86" s="649"/>
      <c r="F86" s="649"/>
      <c r="G86" s="650" t="str">
        <f>Texte!A398</f>
        <v>Charge min /ha SPB herbagères</v>
      </c>
      <c r="H86" s="650"/>
      <c r="I86" s="645" t="str">
        <f>Texte!A347</f>
        <v>Prairies temporaires</v>
      </c>
      <c r="J86" s="645"/>
      <c r="K86" s="645" t="str">
        <f>Texte!A331</f>
        <v>Surfaces herbagères permanentes hors SPB</v>
      </c>
      <c r="L86" s="645"/>
      <c r="M86" s="650" t="str">
        <f>Texte!A80</f>
        <v>Charge min/ ha surf herb permanentes (hors SPB) et temporaires</v>
      </c>
      <c r="N86" s="650"/>
      <c r="O86" s="650"/>
      <c r="P86" s="239"/>
      <c r="Q86" s="278" t="str">
        <f>Texte!A287</f>
        <v>UGBFG min.</v>
      </c>
      <c r="R86" s="14"/>
      <c r="S86" s="14"/>
      <c r="T86" s="15"/>
      <c r="U86" s="15"/>
      <c r="V86" s="16"/>
    </row>
    <row r="87" spans="2:22" s="186" customFormat="1" ht="16.5" customHeight="1">
      <c r="B87" s="9"/>
      <c r="C87" s="17" t="str">
        <f>Texte!A315</f>
        <v>Zone de plaine</v>
      </c>
      <c r="D87" s="38" t="s">
        <v>51</v>
      </c>
      <c r="E87" s="289">
        <f>Sécurité!I11</f>
        <v>0</v>
      </c>
      <c r="F87" s="23" t="s">
        <v>140</v>
      </c>
      <c r="G87" s="289">
        <f t="shared" ref="G87:G92" si="1">M87*0.3</f>
        <v>0.3</v>
      </c>
      <c r="H87" s="142" t="s">
        <v>21</v>
      </c>
      <c r="I87" s="289">
        <f>Sécurité!G11</f>
        <v>0</v>
      </c>
      <c r="J87" s="281" t="s">
        <v>57</v>
      </c>
      <c r="K87" s="120">
        <f>Sécurité!M11</f>
        <v>0</v>
      </c>
      <c r="L87" s="334" t="s">
        <v>165</v>
      </c>
      <c r="M87" s="120">
        <v>1</v>
      </c>
      <c r="N87" s="23"/>
      <c r="O87" s="115"/>
      <c r="P87" s="71" t="s">
        <v>141</v>
      </c>
      <c r="Q87" s="279">
        <f t="shared" ref="Q87:Q92" si="2">E87*G87+(I87+K87)*M87</f>
        <v>0</v>
      </c>
      <c r="R87" s="14"/>
      <c r="S87" s="14"/>
      <c r="T87" s="15"/>
      <c r="U87" s="15"/>
      <c r="V87" s="16"/>
    </row>
    <row r="88" spans="2:22" s="186" customFormat="1" ht="16.5" customHeight="1">
      <c r="B88" s="9"/>
      <c r="C88" s="17" t="str">
        <f>Texte!A316</f>
        <v>Zone des collines</v>
      </c>
      <c r="D88" s="38" t="s">
        <v>51</v>
      </c>
      <c r="E88" s="289">
        <f>Sécurité!I12</f>
        <v>0</v>
      </c>
      <c r="F88" s="23" t="s">
        <v>140</v>
      </c>
      <c r="G88" s="289">
        <f t="shared" si="1"/>
        <v>0.24</v>
      </c>
      <c r="H88" s="142" t="s">
        <v>21</v>
      </c>
      <c r="I88" s="289">
        <f>Sécurité!G12</f>
        <v>0</v>
      </c>
      <c r="J88" s="281" t="s">
        <v>57</v>
      </c>
      <c r="K88" s="120">
        <f>Sécurité!M12</f>
        <v>0</v>
      </c>
      <c r="L88" s="334" t="s">
        <v>165</v>
      </c>
      <c r="M88" s="120">
        <v>0.8</v>
      </c>
      <c r="N88" s="23"/>
      <c r="O88" s="115"/>
      <c r="P88" s="71" t="s">
        <v>141</v>
      </c>
      <c r="Q88" s="279">
        <f t="shared" si="2"/>
        <v>0</v>
      </c>
      <c r="R88" s="14"/>
      <c r="S88" s="14"/>
      <c r="T88" s="15"/>
      <c r="U88" s="15"/>
      <c r="V88" s="16"/>
    </row>
    <row r="89" spans="2:22" s="186" customFormat="1" ht="16.5" customHeight="1">
      <c r="B89" s="9"/>
      <c r="C89" s="17" t="str">
        <f>Texte!A317</f>
        <v>Zone montagne 1</v>
      </c>
      <c r="D89" s="38" t="s">
        <v>51</v>
      </c>
      <c r="E89" s="289">
        <f>Sécurité!I13</f>
        <v>0</v>
      </c>
      <c r="F89" s="23" t="s">
        <v>140</v>
      </c>
      <c r="G89" s="289">
        <f t="shared" si="1"/>
        <v>0.21</v>
      </c>
      <c r="H89" s="142" t="s">
        <v>21</v>
      </c>
      <c r="I89" s="289">
        <f>Sécurité!G13</f>
        <v>0</v>
      </c>
      <c r="J89" s="281" t="s">
        <v>57</v>
      </c>
      <c r="K89" s="120">
        <f>Sécurité!M13</f>
        <v>0</v>
      </c>
      <c r="L89" s="334" t="s">
        <v>165</v>
      </c>
      <c r="M89" s="120">
        <v>0.7</v>
      </c>
      <c r="N89" s="23"/>
      <c r="O89" s="115"/>
      <c r="P89" s="71" t="s">
        <v>141</v>
      </c>
      <c r="Q89" s="279">
        <f t="shared" si="2"/>
        <v>0</v>
      </c>
      <c r="R89" s="14"/>
      <c r="S89" s="14"/>
      <c r="T89" s="15"/>
      <c r="U89" s="15"/>
      <c r="V89" s="16"/>
    </row>
    <row r="90" spans="2:22" s="186" customFormat="1" ht="16.5" customHeight="1">
      <c r="B90" s="9"/>
      <c r="C90" s="17" t="str">
        <f>Texte!A318</f>
        <v>Zone montagne 2</v>
      </c>
      <c r="D90" s="38" t="s">
        <v>51</v>
      </c>
      <c r="E90" s="289">
        <f>Sécurité!I14</f>
        <v>0</v>
      </c>
      <c r="F90" s="23" t="s">
        <v>140</v>
      </c>
      <c r="G90" s="289">
        <f t="shared" si="1"/>
        <v>0.18</v>
      </c>
      <c r="H90" s="142" t="s">
        <v>21</v>
      </c>
      <c r="I90" s="289">
        <f>Sécurité!G14</f>
        <v>0</v>
      </c>
      <c r="J90" s="281" t="s">
        <v>57</v>
      </c>
      <c r="K90" s="120">
        <f>Sécurité!M14</f>
        <v>0</v>
      </c>
      <c r="L90" s="334" t="s">
        <v>165</v>
      </c>
      <c r="M90" s="120">
        <v>0.6</v>
      </c>
      <c r="N90" s="23"/>
      <c r="O90" s="115"/>
      <c r="P90" s="71" t="s">
        <v>141</v>
      </c>
      <c r="Q90" s="279">
        <f t="shared" si="2"/>
        <v>0</v>
      </c>
      <c r="R90" s="14"/>
      <c r="S90" s="14"/>
      <c r="T90" s="15"/>
      <c r="U90" s="15"/>
      <c r="V90" s="16"/>
    </row>
    <row r="91" spans="2:22" s="186" customFormat="1" ht="16.5" customHeight="1">
      <c r="B91" s="9"/>
      <c r="C91" s="17" t="str">
        <f>Texte!A319</f>
        <v>Zone montagne 3</v>
      </c>
      <c r="D91" s="38" t="s">
        <v>51</v>
      </c>
      <c r="E91" s="289">
        <f>Sécurité!I15</f>
        <v>0</v>
      </c>
      <c r="F91" s="23" t="s">
        <v>140</v>
      </c>
      <c r="G91" s="289">
        <f t="shared" si="1"/>
        <v>0.15</v>
      </c>
      <c r="H91" s="142" t="s">
        <v>21</v>
      </c>
      <c r="I91" s="289">
        <f>Sécurité!G15</f>
        <v>0</v>
      </c>
      <c r="J91" s="281" t="s">
        <v>57</v>
      </c>
      <c r="K91" s="120">
        <f>Sécurité!M15</f>
        <v>0</v>
      </c>
      <c r="L91" s="334" t="s">
        <v>165</v>
      </c>
      <c r="M91" s="120">
        <v>0.5</v>
      </c>
      <c r="N91" s="23"/>
      <c r="O91" s="115"/>
      <c r="P91" s="71" t="s">
        <v>141</v>
      </c>
      <c r="Q91" s="279">
        <f t="shared" si="2"/>
        <v>0</v>
      </c>
      <c r="R91" s="14"/>
      <c r="S91" s="14"/>
      <c r="T91" s="15"/>
      <c r="U91" s="15"/>
      <c r="V91" s="16"/>
    </row>
    <row r="92" spans="2:22" s="186" customFormat="1" ht="16.5" customHeight="1">
      <c r="B92" s="9"/>
      <c r="C92" s="17" t="str">
        <f>Texte!A320</f>
        <v>Zone montagne 4</v>
      </c>
      <c r="D92" s="38" t="s">
        <v>51</v>
      </c>
      <c r="E92" s="449">
        <f>Sécurité!I16</f>
        <v>0</v>
      </c>
      <c r="F92" s="23" t="s">
        <v>140</v>
      </c>
      <c r="G92" s="289">
        <f t="shared" si="1"/>
        <v>0.12</v>
      </c>
      <c r="H92" s="142" t="s">
        <v>21</v>
      </c>
      <c r="I92" s="449">
        <f>Sécurité!G16</f>
        <v>0</v>
      </c>
      <c r="J92" s="281" t="s">
        <v>57</v>
      </c>
      <c r="K92" s="450">
        <f>Sécurité!M16</f>
        <v>0</v>
      </c>
      <c r="L92" s="334" t="s">
        <v>165</v>
      </c>
      <c r="M92" s="120">
        <v>0.4</v>
      </c>
      <c r="N92" s="23"/>
      <c r="O92" s="115"/>
      <c r="P92" s="71" t="s">
        <v>141</v>
      </c>
      <c r="Q92" s="451">
        <f t="shared" si="2"/>
        <v>0</v>
      </c>
      <c r="R92" s="14"/>
      <c r="S92" s="14"/>
      <c r="T92" s="15"/>
      <c r="U92" s="15"/>
      <c r="V92" s="16"/>
    </row>
    <row r="93" spans="2:22" s="186" customFormat="1" ht="16.5" customHeight="1">
      <c r="B93" s="9"/>
      <c r="C93" s="10" t="str">
        <f>Texte!A271</f>
        <v>Total</v>
      </c>
      <c r="D93" s="48" t="str">
        <f>Texte!A368</f>
        <v>(ha)</v>
      </c>
      <c r="E93" s="242">
        <f>SUM(E87:E92)</f>
        <v>0</v>
      </c>
      <c r="F93" s="49"/>
      <c r="G93" s="335"/>
      <c r="H93" s="49"/>
      <c r="I93" s="242">
        <f>SUM(I87:I92)</f>
        <v>0</v>
      </c>
      <c r="J93" s="49"/>
      <c r="K93" s="242">
        <f>SUM(K87:K92)</f>
        <v>0</v>
      </c>
      <c r="L93" s="142"/>
      <c r="N93" s="255"/>
      <c r="O93" s="3"/>
      <c r="P93" s="184"/>
      <c r="Q93" s="448">
        <f>SUM(Q87:Q92)</f>
        <v>0</v>
      </c>
      <c r="R93" s="14"/>
      <c r="S93" s="14"/>
      <c r="T93" s="15"/>
      <c r="U93" s="15"/>
      <c r="V93" s="16"/>
    </row>
    <row r="94" spans="2:22" s="186" customFormat="1" ht="9" customHeight="1">
      <c r="B94" s="9"/>
      <c r="C94" s="10"/>
      <c r="D94" s="23"/>
      <c r="E94" s="49"/>
      <c r="F94" s="49"/>
      <c r="G94" s="49"/>
      <c r="H94" s="49"/>
      <c r="I94" s="49"/>
      <c r="J94" s="49"/>
      <c r="K94" s="184"/>
      <c r="L94" s="142"/>
      <c r="M94" s="49"/>
      <c r="N94" s="255"/>
      <c r="O94" s="3"/>
      <c r="P94" s="184"/>
      <c r="Q94" s="280"/>
      <c r="R94" s="14"/>
      <c r="S94" s="14"/>
      <c r="T94" s="15"/>
      <c r="U94" s="15"/>
      <c r="V94" s="16"/>
    </row>
    <row r="95" spans="2:22" s="186" customFormat="1" ht="16.5" customHeight="1">
      <c r="B95" s="9"/>
      <c r="C95" s="10"/>
      <c r="D95" s="10"/>
      <c r="E95" s="10"/>
      <c r="F95" s="10"/>
      <c r="G95" s="10"/>
      <c r="H95" s="10"/>
      <c r="I95" s="10"/>
      <c r="J95" s="10"/>
      <c r="K95" s="10"/>
      <c r="L95" s="11"/>
      <c r="M95" s="54"/>
      <c r="N95" s="71"/>
      <c r="O95" s="3"/>
      <c r="P95" s="652" t="str">
        <f>Texte!A288</f>
        <v>UGBFG réels</v>
      </c>
      <c r="Q95" s="698"/>
      <c r="R95" s="14"/>
      <c r="S95" s="14"/>
      <c r="T95" s="15"/>
      <c r="U95" s="15"/>
      <c r="V95" s="16"/>
    </row>
    <row r="96" spans="2:22" s="186" customFormat="1" ht="16.5" customHeight="1">
      <c r="B96" s="9"/>
      <c r="C96" s="184"/>
      <c r="D96" s="10"/>
      <c r="E96" s="10"/>
      <c r="F96" s="184"/>
      <c r="G96" s="184"/>
      <c r="H96" s="184"/>
      <c r="J96" s="10"/>
      <c r="K96" s="10"/>
      <c r="L96" s="11"/>
      <c r="M96" s="54"/>
      <c r="N96" s="54"/>
      <c r="O96" s="336" t="str">
        <f>Texte!A69</f>
        <v>Bétail consommant des fourrages grossiers (effectifs totaux y compris animaux estivés)</v>
      </c>
      <c r="P96" s="184"/>
      <c r="Q96" s="448">
        <f>Sécurité!Q20</f>
        <v>0</v>
      </c>
      <c r="R96" s="14"/>
      <c r="S96" s="14"/>
      <c r="T96" s="15"/>
      <c r="U96" s="15"/>
      <c r="V96" s="16"/>
    </row>
    <row r="97" spans="2:22" s="186" customFormat="1" ht="6" customHeight="1">
      <c r="B97" s="9"/>
      <c r="C97" s="17"/>
      <c r="D97" s="10"/>
      <c r="E97" s="10"/>
      <c r="F97" s="10"/>
      <c r="G97" s="10"/>
      <c r="H97" s="10"/>
      <c r="I97" s="10"/>
      <c r="J97" s="10"/>
      <c r="K97" s="10"/>
      <c r="L97" s="11"/>
      <c r="M97" s="54"/>
      <c r="N97" s="54"/>
      <c r="O97" s="54"/>
      <c r="P97" s="184"/>
      <c r="Q97" s="196"/>
      <c r="R97" s="14"/>
      <c r="S97" s="14"/>
      <c r="T97" s="15"/>
      <c r="U97" s="15"/>
      <c r="V97" s="16"/>
    </row>
    <row r="98" spans="2:22" s="186" customFormat="1" ht="16.5" customHeight="1" thickBot="1">
      <c r="B98" s="9"/>
      <c r="C98" s="184"/>
      <c r="D98" s="10"/>
      <c r="E98" s="10"/>
      <c r="F98" s="10"/>
      <c r="G98" s="10"/>
      <c r="H98" s="10"/>
      <c r="I98" s="10"/>
      <c r="J98" s="10"/>
      <c r="L98" s="184"/>
      <c r="M98" s="54"/>
      <c r="N98" s="54"/>
      <c r="O98" s="5" t="str">
        <f>Texte!A81</f>
        <v>Charge minimale en bétail atteinte:</v>
      </c>
      <c r="Q98" s="337">
        <f>IF(Q93=0,0,IF(Q96&gt;=Q93,Texte!A205,Texte!A204))</f>
        <v>0</v>
      </c>
      <c r="R98" s="447"/>
      <c r="S98" s="14"/>
      <c r="T98" s="15"/>
      <c r="U98" s="15"/>
      <c r="V98" s="16"/>
    </row>
    <row r="99" spans="2:22" s="186" customFormat="1" ht="29.25" customHeight="1" thickBot="1">
      <c r="B99" s="9"/>
      <c r="C99" s="184"/>
      <c r="D99" s="10"/>
      <c r="E99" s="10"/>
      <c r="F99" s="10"/>
      <c r="G99" s="10"/>
      <c r="H99" s="709" t="str">
        <f>Texte!A339</f>
        <v>% de la ch. en bétail réalisé (= UGB eff./ UGB min.)
(si la charge minimale en bétail est atteinte = 100%)</v>
      </c>
      <c r="I99" s="709"/>
      <c r="J99" s="709"/>
      <c r="K99" s="709"/>
      <c r="L99" s="709"/>
      <c r="M99" s="709"/>
      <c r="N99" s="709"/>
      <c r="O99" s="709"/>
      <c r="Q99" s="616">
        <f>IF(Q93=0,0,(IF(Q96/Q93&gt;1,1,Q96/Q93)))</f>
        <v>0</v>
      </c>
      <c r="R99" s="447"/>
      <c r="S99" s="14"/>
      <c r="T99" s="15"/>
      <c r="U99" s="15"/>
      <c r="V99" s="16"/>
    </row>
    <row r="100" spans="2:22" s="186" customFormat="1" ht="20.100000000000001" customHeight="1">
      <c r="B100" s="9"/>
      <c r="C100" s="10" t="str">
        <f>Texte!A257</f>
        <v>Part minimale de prairies, pâturages et fourrages de base dans la ration des animaux consommant des fourrages grossiers</v>
      </c>
      <c r="D100" s="10"/>
      <c r="E100" s="10"/>
      <c r="F100" s="10"/>
      <c r="G100" s="10"/>
      <c r="H100" s="10"/>
      <c r="I100" s="10"/>
      <c r="J100" s="17"/>
      <c r="K100" s="134"/>
      <c r="L100" s="17"/>
      <c r="M100" s="23"/>
      <c r="N100" s="23"/>
      <c r="O100" s="23"/>
      <c r="P100" s="17"/>
      <c r="Q100" s="117"/>
      <c r="R100" s="14"/>
      <c r="S100" s="14"/>
      <c r="T100" s="15"/>
      <c r="U100" s="15"/>
      <c r="V100" s="16"/>
    </row>
    <row r="101" spans="2:22" s="186" customFormat="1" ht="38.1" customHeight="1">
      <c r="B101" s="9"/>
      <c r="C101" s="650" t="str">
        <f>Texte!A16</f>
        <v>Parts minimales atteintes</v>
      </c>
      <c r="D101" s="650"/>
      <c r="E101" s="17"/>
      <c r="F101" s="118"/>
      <c r="G101" s="653" t="str">
        <f>Texte!A39</f>
        <v>Région de plaine: min. 75% de la MS de fourrages provenant de prairies ou de pâturages; min. 90% de la MS en fourrages de base - Région de montagne: min. 85% de la MS de fourrages provenant de prairies ou de pâturages</v>
      </c>
      <c r="H101" s="653"/>
      <c r="I101" s="653"/>
      <c r="J101" s="653"/>
      <c r="K101" s="653"/>
      <c r="L101" s="653"/>
      <c r="M101" s="653"/>
      <c r="N101" s="653"/>
      <c r="O101" s="653"/>
      <c r="P101" s="17"/>
      <c r="Q101" s="117"/>
      <c r="R101" s="14"/>
      <c r="S101" s="14"/>
      <c r="T101" s="15"/>
      <c r="U101" s="15"/>
      <c r="V101" s="16"/>
    </row>
    <row r="102" spans="2:22" s="186" customFormat="1" ht="6" customHeight="1">
      <c r="B102" s="9"/>
      <c r="C102" s="10"/>
      <c r="D102" s="10"/>
      <c r="E102" s="10"/>
      <c r="F102" s="10"/>
      <c r="G102" s="10"/>
      <c r="H102" s="10"/>
      <c r="I102" s="10"/>
      <c r="J102" s="17"/>
      <c r="K102" s="134"/>
      <c r="L102" s="17"/>
      <c r="M102" s="23"/>
      <c r="N102" s="23"/>
      <c r="O102" s="23"/>
      <c r="P102" s="17"/>
      <c r="Q102" s="117"/>
      <c r="R102" s="14"/>
      <c r="S102" s="14"/>
      <c r="T102" s="15"/>
      <c r="U102" s="15"/>
      <c r="V102" s="16"/>
    </row>
    <row r="103" spans="2:22" s="186" customFormat="1" ht="16.5" customHeight="1">
      <c r="B103" s="9"/>
      <c r="C103" s="10"/>
      <c r="D103" s="10"/>
      <c r="E103" s="10"/>
      <c r="F103" s="10"/>
      <c r="G103" s="10"/>
      <c r="H103" s="10"/>
      <c r="I103" s="54" t="str">
        <f>Texte!A190</f>
        <v>Montant (Fr.)</v>
      </c>
      <c r="J103" s="54"/>
      <c r="K103" s="54" t="str">
        <f>Texte!A343</f>
        <v>Surface (ha)</v>
      </c>
      <c r="L103" s="54"/>
      <c r="M103" s="54" t="str">
        <f>Texte!A253</f>
        <v>Sous-total</v>
      </c>
      <c r="N103" s="23"/>
      <c r="O103" s="23"/>
      <c r="P103" s="17"/>
      <c r="Q103" s="196" t="str">
        <f>Texte!A282</f>
        <v>Total (Fr.)</v>
      </c>
      <c r="R103" s="14"/>
      <c r="S103" s="14"/>
      <c r="T103" s="15"/>
      <c r="U103" s="15"/>
      <c r="V103" s="16"/>
    </row>
    <row r="104" spans="2:22" ht="17.100000000000001" customHeight="1">
      <c r="B104" s="12"/>
      <c r="C104" s="17" t="str">
        <f>Texte!A256</f>
        <v>Calcul de la contribution pour les surfaces herbagères donnant droit aux contributions</v>
      </c>
      <c r="D104" s="17"/>
      <c r="E104" s="17"/>
      <c r="F104" s="17"/>
      <c r="G104" s="17"/>
      <c r="H104" s="11"/>
      <c r="I104" s="39">
        <f>IF(Q99&gt;=1,200,200*Q99)</f>
        <v>0</v>
      </c>
      <c r="J104" s="23" t="s">
        <v>140</v>
      </c>
      <c r="K104" s="289">
        <f>IF(Texte!C2=2,E93+I93+K93,0)</f>
        <v>0</v>
      </c>
      <c r="L104" s="23" t="s">
        <v>141</v>
      </c>
      <c r="M104" s="39">
        <f>I104*K104</f>
        <v>0</v>
      </c>
      <c r="N104" s="40"/>
      <c r="O104" s="40"/>
      <c r="P104" s="23"/>
      <c r="Q104" s="117"/>
      <c r="R104" s="11"/>
      <c r="S104" s="2"/>
      <c r="T104" s="2"/>
    </row>
    <row r="105" spans="2:22" ht="6" customHeight="1">
      <c r="B105" s="12"/>
      <c r="C105" s="17"/>
      <c r="D105" s="17"/>
      <c r="E105" s="17"/>
      <c r="F105" s="17"/>
      <c r="G105" s="17"/>
      <c r="H105" s="11"/>
      <c r="I105" s="40"/>
      <c r="J105" s="17"/>
      <c r="K105" s="47"/>
      <c r="L105" s="23"/>
      <c r="M105" s="40"/>
      <c r="N105" s="40"/>
      <c r="O105" s="40"/>
      <c r="P105" s="23"/>
      <c r="Q105" s="117"/>
      <c r="R105" s="11"/>
      <c r="S105" s="2"/>
      <c r="T105" s="2"/>
    </row>
    <row r="106" spans="2:22" ht="16.5" customHeight="1">
      <c r="B106" s="12"/>
      <c r="C106" s="48" t="str">
        <f>Texte!A191</f>
        <v>* Contribution = 200.- x % de la charge en bétail réalisé x surface</v>
      </c>
      <c r="D106" s="48"/>
      <c r="E106" s="48"/>
      <c r="F106" s="48"/>
      <c r="G106" s="48"/>
      <c r="H106" s="48"/>
      <c r="I106" s="38"/>
      <c r="J106" s="284"/>
      <c r="K106" s="284"/>
      <c r="L106" s="17"/>
      <c r="M106" s="150"/>
      <c r="N106" s="50"/>
      <c r="O106" s="153" t="str">
        <f>Texte!A252</f>
        <v>Somme contributions</v>
      </c>
      <c r="P106" s="23"/>
      <c r="Q106" s="187"/>
      <c r="R106" s="35"/>
      <c r="S106" s="3"/>
    </row>
    <row r="107" spans="2:22" ht="16.5" customHeight="1">
      <c r="B107" s="243"/>
      <c r="C107" s="48" t="str">
        <f>Texte!A344</f>
        <v>** Surface = SPB herbagères + prairies temporaires + prairies permanentes</v>
      </c>
      <c r="D107" s="48"/>
      <c r="E107" s="48"/>
      <c r="F107" s="48"/>
      <c r="G107" s="48"/>
      <c r="H107" s="48"/>
      <c r="I107" s="48"/>
      <c r="J107" s="284"/>
      <c r="K107" s="115"/>
      <c r="L107" s="17"/>
      <c r="M107" s="115"/>
      <c r="N107" s="115"/>
      <c r="O107" s="115"/>
      <c r="P107" s="23" t="s">
        <v>141</v>
      </c>
      <c r="Q107" s="52">
        <f>M104</f>
        <v>0</v>
      </c>
      <c r="R107" s="35"/>
      <c r="S107" s="3"/>
    </row>
    <row r="108" spans="2:22" ht="16.5" customHeight="1">
      <c r="B108" s="243"/>
      <c r="C108" s="48"/>
      <c r="D108" s="48"/>
      <c r="E108" s="48"/>
      <c r="F108" s="48"/>
      <c r="G108" s="48"/>
      <c r="H108" s="48"/>
      <c r="I108" s="48"/>
      <c r="J108" s="564"/>
      <c r="K108" s="115"/>
      <c r="L108" s="17"/>
      <c r="M108" s="115"/>
      <c r="N108" s="115"/>
      <c r="O108" s="115"/>
      <c r="P108" s="23"/>
      <c r="Q108" s="117"/>
      <c r="R108" s="35"/>
      <c r="S108" s="3"/>
    </row>
    <row r="109" spans="2:22" ht="16.5" customHeight="1">
      <c r="B109" s="592" t="str">
        <f>Texte!A498</f>
        <v xml:space="preserve">Modes de production particulièrement respectueux des animaux </v>
      </c>
      <c r="C109" s="593"/>
      <c r="D109" s="593"/>
      <c r="E109" s="593"/>
      <c r="F109" s="593"/>
      <c r="G109" s="593"/>
      <c r="H109" s="593"/>
      <c r="I109" s="593"/>
      <c r="J109" s="594"/>
      <c r="K109" s="579"/>
      <c r="L109" s="61"/>
      <c r="M109" s="579"/>
      <c r="N109" s="579"/>
      <c r="O109" s="579"/>
      <c r="P109" s="110"/>
      <c r="Q109" s="131"/>
      <c r="R109" s="35"/>
      <c r="S109" s="3"/>
    </row>
    <row r="110" spans="2:22" ht="24.75" customHeight="1">
      <c r="B110" s="590" t="str">
        <f>Texte!A166</f>
        <v>Contributions au bien-être des animaux</v>
      </c>
      <c r="C110" s="595"/>
      <c r="D110" s="596"/>
      <c r="E110" s="596"/>
      <c r="F110" s="596"/>
      <c r="G110" s="597"/>
      <c r="H110" s="596"/>
      <c r="I110" s="582"/>
      <c r="J110" s="598"/>
      <c r="K110" s="584"/>
      <c r="L110" s="585"/>
      <c r="M110" s="584"/>
      <c r="N110" s="584"/>
      <c r="O110" s="584"/>
      <c r="P110" s="586"/>
      <c r="Q110" s="587"/>
      <c r="R110" s="35"/>
      <c r="S110" s="3"/>
    </row>
    <row r="111" spans="2:22" ht="17.100000000000001" customHeight="1">
      <c r="B111" s="9"/>
      <c r="C111" s="114"/>
      <c r="D111" s="51"/>
      <c r="E111" s="51"/>
      <c r="F111" s="51"/>
      <c r="G111" s="47"/>
      <c r="H111" s="51"/>
      <c r="I111" s="134"/>
      <c r="J111" s="113"/>
      <c r="K111" s="115" t="str">
        <f>Texte!A190</f>
        <v>Montant (Fr.)</v>
      </c>
      <c r="L111" s="17"/>
      <c r="M111" s="115" t="str">
        <f>Texte!A285</f>
        <v>UGB</v>
      </c>
      <c r="N111" s="115"/>
      <c r="O111" s="115" t="str">
        <f>Texte!A253</f>
        <v>Sous-total</v>
      </c>
      <c r="P111" s="23"/>
      <c r="Q111" s="117"/>
      <c r="R111" s="35"/>
      <c r="S111" s="3"/>
    </row>
    <row r="112" spans="2:22" s="186" customFormat="1" ht="17.100000000000001" customHeight="1">
      <c r="B112" s="700" t="str">
        <f>Texte!A168</f>
        <v>Systèmes de stabulation particulièrement respectueux des animaux (SST)</v>
      </c>
      <c r="C112" s="701"/>
      <c r="D112" s="701"/>
      <c r="E112" s="701"/>
      <c r="F112" s="701"/>
      <c r="G112" s="701"/>
      <c r="H112" s="701"/>
      <c r="I112" s="701"/>
      <c r="J112" s="17"/>
      <c r="K112" s="17"/>
      <c r="L112" s="17"/>
      <c r="M112" s="23"/>
      <c r="N112" s="23"/>
      <c r="O112" s="23"/>
      <c r="P112" s="17"/>
      <c r="Q112" s="117"/>
      <c r="R112" s="15"/>
      <c r="S112" s="15"/>
      <c r="T112" s="16"/>
    </row>
    <row r="113" spans="1:20" s="186" customFormat="1" ht="30" customHeight="1">
      <c r="B113" s="73"/>
      <c r="C113" s="653" t="str">
        <f>Texte!A70</f>
        <v>Bovins et buffles d'Asie &gt;160 jours, équidés femelles et mâles castrés de plus de 900 jours, chèvres &gt; 1 an</v>
      </c>
      <c r="D113" s="653"/>
      <c r="E113" s="653"/>
      <c r="F113" s="653"/>
      <c r="G113" s="653"/>
      <c r="H113" s="653"/>
      <c r="I113" s="653"/>
      <c r="J113" s="653"/>
      <c r="K113" s="232">
        <v>90</v>
      </c>
      <c r="L113" s="233" t="s">
        <v>140</v>
      </c>
      <c r="M113" s="234"/>
      <c r="N113" s="233" t="s">
        <v>141</v>
      </c>
      <c r="O113" s="327">
        <f>K113*M113</f>
        <v>0</v>
      </c>
      <c r="P113" s="17"/>
      <c r="Q113" s="117"/>
      <c r="R113" s="15"/>
      <c r="S113" s="15"/>
      <c r="T113" s="16"/>
    </row>
    <row r="114" spans="1:20" s="186" customFormat="1" ht="17.100000000000001" customHeight="1">
      <c r="B114" s="73"/>
      <c r="C114" s="17" t="str">
        <f>Texte!A228</f>
        <v>Porcs sans porcelets allaités, ni verrats d’élevage de plus de 6 mois</v>
      </c>
      <c r="D114" s="17"/>
      <c r="E114" s="17"/>
      <c r="F114" s="17"/>
      <c r="G114" s="17"/>
      <c r="H114" s="17"/>
      <c r="I114" s="17"/>
      <c r="J114" s="17"/>
      <c r="K114" s="39">
        <v>155</v>
      </c>
      <c r="L114" s="23" t="s">
        <v>140</v>
      </c>
      <c r="M114" s="139"/>
      <c r="N114" s="23" t="s">
        <v>141</v>
      </c>
      <c r="O114" s="148">
        <f>K114*M114</f>
        <v>0</v>
      </c>
      <c r="P114" s="17"/>
      <c r="Q114" s="117"/>
      <c r="R114" s="15"/>
      <c r="S114" s="15"/>
      <c r="T114" s="16"/>
    </row>
    <row r="115" spans="1:20" s="186" customFormat="1" ht="17.100000000000001" customHeight="1">
      <c r="B115" s="73"/>
      <c r="C115" s="17" t="str">
        <f>Texte!A230</f>
        <v>Volaille**</v>
      </c>
      <c r="D115" s="17"/>
      <c r="E115" s="17"/>
      <c r="F115" s="17"/>
      <c r="G115" s="17"/>
      <c r="H115" s="17"/>
      <c r="I115" s="17"/>
      <c r="J115" s="17"/>
      <c r="K115" s="39">
        <v>280</v>
      </c>
      <c r="L115" s="23" t="s">
        <v>140</v>
      </c>
      <c r="M115" s="139"/>
      <c r="N115" s="23" t="s">
        <v>141</v>
      </c>
      <c r="O115" s="148">
        <f>K115*M115</f>
        <v>0</v>
      </c>
      <c r="P115" s="17"/>
      <c r="Q115" s="117"/>
      <c r="R115" s="15"/>
      <c r="S115" s="15"/>
      <c r="T115" s="16"/>
    </row>
    <row r="116" spans="1:20" s="186" customFormat="1" ht="17.100000000000001" customHeight="1">
      <c r="B116" s="73"/>
      <c r="C116" s="17" t="str">
        <f>Texte!A232</f>
        <v>Lapins</v>
      </c>
      <c r="D116" s="17"/>
      <c r="E116" s="17"/>
      <c r="F116" s="17"/>
      <c r="G116" s="17"/>
      <c r="H116" s="17"/>
      <c r="I116" s="17"/>
      <c r="J116" s="17"/>
      <c r="K116" s="39">
        <v>280</v>
      </c>
      <c r="L116" s="23" t="s">
        <v>140</v>
      </c>
      <c r="M116" s="139"/>
      <c r="N116" s="23" t="s">
        <v>141</v>
      </c>
      <c r="O116" s="148">
        <f>K116*M116</f>
        <v>0</v>
      </c>
      <c r="P116" s="17"/>
      <c r="Q116" s="117"/>
      <c r="R116" s="15"/>
      <c r="S116" s="15"/>
      <c r="T116" s="16"/>
    </row>
    <row r="117" spans="1:20" ht="9" customHeight="1">
      <c r="B117" s="12"/>
      <c r="C117" s="33"/>
      <c r="D117" s="33"/>
      <c r="E117" s="54"/>
      <c r="F117" s="54"/>
      <c r="G117" s="54"/>
      <c r="H117" s="11"/>
      <c r="I117" s="40"/>
      <c r="J117" s="17"/>
      <c r="K117" s="47"/>
      <c r="L117" s="23"/>
      <c r="M117" s="333"/>
      <c r="N117" s="23"/>
      <c r="O117" s="49"/>
      <c r="P117" s="54"/>
      <c r="Q117" s="117"/>
      <c r="R117" s="3"/>
    </row>
    <row r="118" spans="1:20" ht="12.6" customHeight="1">
      <c r="B118" s="12"/>
      <c r="C118" s="307"/>
      <c r="D118" s="307"/>
      <c r="E118" s="307"/>
      <c r="F118" s="307"/>
      <c r="G118" s="307"/>
      <c r="H118" s="307"/>
      <c r="I118" s="307"/>
      <c r="J118" s="307"/>
      <c r="K118" s="152"/>
      <c r="L118" s="17"/>
      <c r="M118" s="151"/>
      <c r="N118" s="142"/>
      <c r="O118" s="153" t="str">
        <f>Texte!A252</f>
        <v>Somme contributions</v>
      </c>
      <c r="P118" s="54"/>
      <c r="Q118" s="117"/>
      <c r="R118" s="3"/>
    </row>
    <row r="119" spans="1:20" ht="17.100000000000001" customHeight="1">
      <c r="B119" s="135"/>
      <c r="C119" s="613"/>
      <c r="D119" s="307"/>
      <c r="E119" s="307"/>
      <c r="F119" s="307"/>
      <c r="G119" s="307"/>
      <c r="H119" s="307"/>
      <c r="I119" s="307"/>
      <c r="J119" s="307"/>
      <c r="K119" s="283"/>
      <c r="L119" s="113"/>
      <c r="M119" s="115"/>
      <c r="N119" s="23"/>
      <c r="O119" s="116"/>
      <c r="P119" s="17" t="s">
        <v>141</v>
      </c>
      <c r="Q119" s="52">
        <f>SUM(O113:O116)</f>
        <v>0</v>
      </c>
      <c r="R119" s="3"/>
    </row>
    <row r="120" spans="1:20" ht="18" customHeight="1">
      <c r="B120" s="135"/>
      <c r="C120" s="614" t="str">
        <f>Texte!A231</f>
        <v>**Poules pondeuses, poulettes, coqs d'élevage, jeunes coqs, poussins, poulets et dindes</v>
      </c>
      <c r="D120" s="432"/>
      <c r="E120" s="432"/>
      <c r="F120" s="432"/>
      <c r="G120" s="432"/>
      <c r="H120" s="432"/>
      <c r="I120" s="432"/>
      <c r="J120" s="432"/>
      <c r="K120" s="283"/>
      <c r="L120" s="113"/>
      <c r="M120" s="115"/>
      <c r="N120" s="23"/>
      <c r="O120" s="116"/>
      <c r="P120" s="17"/>
      <c r="Q120" s="117"/>
      <c r="R120" s="3"/>
    </row>
    <row r="121" spans="1:20" s="186" customFormat="1" ht="17.100000000000001" customHeight="1">
      <c r="A121" s="184"/>
      <c r="B121" s="135"/>
      <c r="C121" s="284"/>
      <c r="D121" s="284"/>
      <c r="E121" s="284"/>
      <c r="F121" s="284"/>
      <c r="G121" s="284"/>
      <c r="H121" s="284"/>
      <c r="I121" s="284"/>
      <c r="J121" s="284"/>
      <c r="K121" s="283"/>
      <c r="L121" s="113"/>
      <c r="M121" s="115"/>
      <c r="N121" s="23"/>
      <c r="O121" s="116"/>
      <c r="P121" s="17"/>
      <c r="Q121" s="117"/>
      <c r="R121" s="3"/>
      <c r="S121" s="184"/>
      <c r="T121" s="16"/>
    </row>
    <row r="122" spans="1:20" s="186" customFormat="1" ht="17.100000000000001" customHeight="1">
      <c r="B122" s="9" t="str">
        <f>Texte!A167</f>
        <v>Sorties régulières en plein air (SRPA)</v>
      </c>
      <c r="C122" s="17"/>
      <c r="D122" s="17"/>
      <c r="E122" s="17"/>
      <c r="F122" s="17" t="s">
        <v>490</v>
      </c>
      <c r="G122" s="17"/>
      <c r="H122" s="17"/>
      <c r="I122" s="17"/>
      <c r="J122" s="17"/>
      <c r="K122" s="17"/>
      <c r="L122" s="17"/>
      <c r="M122" s="134"/>
      <c r="N122" s="23"/>
      <c r="O122" s="17"/>
      <c r="P122" s="17"/>
      <c r="Q122" s="72"/>
      <c r="R122" s="11"/>
      <c r="S122" s="11"/>
      <c r="T122" s="16"/>
    </row>
    <row r="123" spans="1:20" s="297" customFormat="1" ht="17.100000000000001" customHeight="1">
      <c r="B123" s="295"/>
      <c r="C123" s="650" t="str">
        <f>Texte!A520</f>
        <v>Bovins et les buffles d’Asie</v>
      </c>
      <c r="D123" s="650"/>
      <c r="E123" s="650"/>
      <c r="F123" s="650"/>
      <c r="G123" s="650"/>
      <c r="H123" s="650"/>
      <c r="I123" s="650"/>
      <c r="J123" s="650"/>
      <c r="K123" s="633"/>
      <c r="L123" s="263"/>
      <c r="M123" s="271"/>
      <c r="N123" s="263"/>
      <c r="O123" s="372"/>
      <c r="P123" s="143"/>
      <c r="Q123" s="299"/>
      <c r="R123" s="15"/>
      <c r="S123" s="15"/>
      <c r="T123" s="296"/>
    </row>
    <row r="124" spans="1:20" s="297" customFormat="1" ht="17.100000000000001" customHeight="1">
      <c r="B124" s="295"/>
      <c r="C124" s="630"/>
      <c r="D124" s="307" t="str">
        <f>Texte!A511</f>
        <v>vaches laitières</v>
      </c>
      <c r="E124" s="630"/>
      <c r="F124" s="630"/>
      <c r="G124" s="630"/>
      <c r="H124" s="630"/>
      <c r="I124" s="630"/>
      <c r="J124" s="629"/>
      <c r="K124" s="232">
        <v>190</v>
      </c>
      <c r="L124" s="233" t="s">
        <v>140</v>
      </c>
      <c r="M124" s="631"/>
      <c r="N124" s="233" t="s">
        <v>141</v>
      </c>
      <c r="O124" s="327">
        <f t="shared" ref="O124:O132" si="3">IF(O144=0,K124*M124,0)</f>
        <v>0</v>
      </c>
      <c r="P124" s="143"/>
      <c r="Q124" s="299"/>
      <c r="R124" s="15"/>
      <c r="S124" s="15"/>
      <c r="T124" s="296"/>
    </row>
    <row r="125" spans="1:20" s="297" customFormat="1" ht="17.100000000000001" customHeight="1">
      <c r="B125" s="295"/>
      <c r="C125" s="629"/>
      <c r="D125" s="307" t="str">
        <f>Texte!A512</f>
        <v>autres vaches</v>
      </c>
      <c r="E125" s="629"/>
      <c r="F125" s="629"/>
      <c r="G125" s="629"/>
      <c r="H125" s="629"/>
      <c r="I125" s="629"/>
      <c r="J125" s="629"/>
      <c r="K125" s="232">
        <v>190</v>
      </c>
      <c r="L125" s="233" t="s">
        <v>140</v>
      </c>
      <c r="M125" s="631"/>
      <c r="N125" s="233" t="s">
        <v>141</v>
      </c>
      <c r="O125" s="327">
        <f t="shared" si="3"/>
        <v>0</v>
      </c>
      <c r="P125" s="143"/>
      <c r="Q125" s="299"/>
      <c r="R125" s="15"/>
      <c r="S125" s="15"/>
      <c r="T125" s="296"/>
    </row>
    <row r="126" spans="1:20" s="297" customFormat="1" ht="17.100000000000001" customHeight="1">
      <c r="B126" s="295"/>
      <c r="C126" s="629"/>
      <c r="D126" s="307" t="str">
        <f>Texte!A513</f>
        <v>animaux femelles, de plus de 365 jours au premier vêlage</v>
      </c>
      <c r="E126" s="629"/>
      <c r="F126" s="629"/>
      <c r="G126" s="629"/>
      <c r="H126" s="629"/>
      <c r="I126" s="629"/>
      <c r="J126" s="629"/>
      <c r="K126" s="232">
        <v>190</v>
      </c>
      <c r="L126" s="233" t="s">
        <v>140</v>
      </c>
      <c r="M126" s="631"/>
      <c r="N126" s="233" t="s">
        <v>141</v>
      </c>
      <c r="O126" s="327">
        <f t="shared" si="3"/>
        <v>0</v>
      </c>
      <c r="P126" s="143"/>
      <c r="Q126" s="299"/>
      <c r="R126" s="15"/>
      <c r="S126" s="15"/>
      <c r="T126" s="296"/>
    </row>
    <row r="127" spans="1:20" s="297" customFormat="1" ht="17.100000000000001" customHeight="1">
      <c r="B127" s="295"/>
      <c r="C127" s="629"/>
      <c r="D127" s="307" t="str">
        <f>Texte!A514</f>
        <v>animaux femelles, de plus de 160 à 365 jours</v>
      </c>
      <c r="E127" s="629"/>
      <c r="F127" s="629"/>
      <c r="G127" s="629"/>
      <c r="H127" s="629"/>
      <c r="I127" s="629"/>
      <c r="J127" s="629"/>
      <c r="K127" s="232">
        <v>190</v>
      </c>
      <c r="L127" s="233" t="s">
        <v>140</v>
      </c>
      <c r="M127" s="631"/>
      <c r="N127" s="233" t="s">
        <v>141</v>
      </c>
      <c r="O127" s="327">
        <f t="shared" si="3"/>
        <v>0</v>
      </c>
      <c r="P127" s="143"/>
      <c r="Q127" s="299"/>
      <c r="R127" s="15"/>
      <c r="S127" s="15"/>
      <c r="T127" s="296"/>
    </row>
    <row r="128" spans="1:20" s="297" customFormat="1" ht="17.100000000000001" customHeight="1">
      <c r="B128" s="295"/>
      <c r="C128" s="629"/>
      <c r="D128" s="307" t="str">
        <f>Texte!A515</f>
        <v>animaux femelles, jusqu’à 160 jours</v>
      </c>
      <c r="E128" s="629"/>
      <c r="F128" s="629"/>
      <c r="G128" s="629"/>
      <c r="H128" s="629"/>
      <c r="I128" s="629"/>
      <c r="J128" s="629"/>
      <c r="K128" s="232">
        <v>370</v>
      </c>
      <c r="L128" s="233" t="s">
        <v>140</v>
      </c>
      <c r="M128" s="631"/>
      <c r="N128" s="233" t="s">
        <v>141</v>
      </c>
      <c r="O128" s="327">
        <f t="shared" si="3"/>
        <v>0</v>
      </c>
      <c r="P128" s="143"/>
      <c r="Q128" s="299"/>
      <c r="R128" s="15"/>
      <c r="S128" s="15"/>
      <c r="T128" s="296"/>
    </row>
    <row r="129" spans="2:20" s="297" customFormat="1" ht="17.100000000000001" customHeight="1">
      <c r="B129" s="295"/>
      <c r="C129" s="629"/>
      <c r="D129" s="307" t="str">
        <f>Texte!A516</f>
        <v>animaux mâles, de plus de 730 jours</v>
      </c>
      <c r="E129" s="629"/>
      <c r="F129" s="629"/>
      <c r="G129" s="629"/>
      <c r="H129" s="629"/>
      <c r="I129" s="629"/>
      <c r="J129" s="629"/>
      <c r="K129" s="232">
        <v>190</v>
      </c>
      <c r="L129" s="233" t="s">
        <v>140</v>
      </c>
      <c r="M129" s="631"/>
      <c r="N129" s="233" t="s">
        <v>141</v>
      </c>
      <c r="O129" s="327">
        <f t="shared" si="3"/>
        <v>0</v>
      </c>
      <c r="P129" s="143"/>
      <c r="Q129" s="299"/>
      <c r="R129" s="15"/>
      <c r="S129" s="15"/>
      <c r="T129" s="296"/>
    </row>
    <row r="130" spans="2:20" s="297" customFormat="1" ht="17.100000000000001" customHeight="1">
      <c r="B130" s="295"/>
      <c r="C130" s="629"/>
      <c r="D130" s="307" t="str">
        <f>Texte!A517</f>
        <v>animaux mâles, de plus de 365 jours à 730 jours</v>
      </c>
      <c r="E130" s="629"/>
      <c r="F130" s="629"/>
      <c r="G130" s="629"/>
      <c r="H130" s="629"/>
      <c r="I130" s="629"/>
      <c r="J130" s="629"/>
      <c r="K130" s="232">
        <v>190</v>
      </c>
      <c r="L130" s="233" t="s">
        <v>140</v>
      </c>
      <c r="M130" s="631"/>
      <c r="N130" s="233" t="s">
        <v>141</v>
      </c>
      <c r="O130" s="327">
        <f t="shared" si="3"/>
        <v>0</v>
      </c>
      <c r="P130" s="143"/>
      <c r="Q130" s="299"/>
      <c r="R130" s="15"/>
      <c r="S130" s="15"/>
      <c r="T130" s="296"/>
    </row>
    <row r="131" spans="2:20" s="297" customFormat="1" ht="17.100000000000001" customHeight="1">
      <c r="B131" s="295"/>
      <c r="C131" s="629"/>
      <c r="D131" s="307" t="str">
        <f>Texte!A518</f>
        <v>animaux mâles, de plus de 160 jours à 365 jours</v>
      </c>
      <c r="E131" s="629"/>
      <c r="F131" s="629"/>
      <c r="G131" s="629"/>
      <c r="H131" s="629"/>
      <c r="I131" s="629"/>
      <c r="J131" s="629"/>
      <c r="K131" s="232">
        <v>190</v>
      </c>
      <c r="L131" s="233" t="s">
        <v>140</v>
      </c>
      <c r="M131" s="631"/>
      <c r="N131" s="233" t="s">
        <v>141</v>
      </c>
      <c r="O131" s="327">
        <f t="shared" si="3"/>
        <v>0</v>
      </c>
      <c r="P131" s="143"/>
      <c r="Q131" s="299"/>
      <c r="R131" s="15"/>
      <c r="S131" s="15"/>
      <c r="T131" s="296"/>
    </row>
    <row r="132" spans="2:20" s="297" customFormat="1" ht="17.100000000000001" customHeight="1">
      <c r="B132" s="604"/>
      <c r="C132" s="143"/>
      <c r="D132" s="307" t="str">
        <f>Texte!A519</f>
        <v>animaux mâles, jusqu’à 160 jours</v>
      </c>
      <c r="E132" s="143"/>
      <c r="F132" s="143"/>
      <c r="G132" s="143"/>
      <c r="H132" s="143"/>
      <c r="I132" s="143"/>
      <c r="J132" s="143"/>
      <c r="K132" s="232">
        <v>370</v>
      </c>
      <c r="L132" s="233" t="s">
        <v>140</v>
      </c>
      <c r="M132" s="631"/>
      <c r="N132" s="233" t="s">
        <v>141</v>
      </c>
      <c r="O132" s="327">
        <f t="shared" si="3"/>
        <v>0</v>
      </c>
      <c r="P132" s="143"/>
      <c r="Q132" s="299"/>
      <c r="R132" s="15"/>
      <c r="S132" s="15"/>
      <c r="T132" s="296"/>
    </row>
    <row r="133" spans="2:20" s="297" customFormat="1" ht="17.100000000000001" customHeight="1">
      <c r="B133" s="604"/>
      <c r="C133" s="143" t="str">
        <f>Texte!A72</f>
        <v>Equidés, chèvres et moutons &gt; 1 an</v>
      </c>
      <c r="D133" s="143"/>
      <c r="E133" s="143"/>
      <c r="F133" s="143"/>
      <c r="G133" s="143"/>
      <c r="H133" s="143"/>
      <c r="I133" s="143"/>
      <c r="J133" s="143"/>
      <c r="K133" s="232">
        <v>190</v>
      </c>
      <c r="L133" s="233" t="s">
        <v>140</v>
      </c>
      <c r="M133" s="631"/>
      <c r="N133" s="233" t="s">
        <v>141</v>
      </c>
      <c r="O133" s="327">
        <f t="shared" ref="O133" si="4">K133*M133</f>
        <v>0</v>
      </c>
      <c r="P133" s="143"/>
      <c r="Q133" s="299"/>
      <c r="R133" s="15"/>
      <c r="S133" s="15"/>
      <c r="T133" s="296"/>
    </row>
    <row r="134" spans="2:20" s="297" customFormat="1" ht="17.100000000000001" customHeight="1">
      <c r="B134" s="295"/>
      <c r="C134" s="143" t="str">
        <f>Texte!A284</f>
        <v>Truies d'élevage non-allaitantes</v>
      </c>
      <c r="D134" s="143"/>
      <c r="E134" s="143"/>
      <c r="F134" s="143"/>
      <c r="G134" s="143"/>
      <c r="H134" s="143"/>
      <c r="I134" s="143"/>
      <c r="J134" s="143"/>
      <c r="K134" s="232">
        <v>370</v>
      </c>
      <c r="L134" s="233" t="s">
        <v>140</v>
      </c>
      <c r="M134" s="234"/>
      <c r="N134" s="233" t="s">
        <v>141</v>
      </c>
      <c r="O134" s="327">
        <f t="shared" ref="O134:O137" si="5">K134*M134</f>
        <v>0</v>
      </c>
      <c r="P134" s="143"/>
      <c r="Q134" s="299"/>
      <c r="R134" s="15"/>
      <c r="S134" s="15"/>
      <c r="T134" s="296"/>
    </row>
    <row r="135" spans="2:20" s="297" customFormat="1" ht="17.100000000000001" customHeight="1">
      <c r="B135" s="295"/>
      <c r="C135" s="143" t="str">
        <f>Texte!A225</f>
        <v>Autres porcins sans porcelets allaités</v>
      </c>
      <c r="D135" s="143"/>
      <c r="E135" s="143"/>
      <c r="F135" s="143"/>
      <c r="G135" s="143"/>
      <c r="H135" s="143"/>
      <c r="I135" s="143"/>
      <c r="J135" s="143"/>
      <c r="K135" s="232">
        <v>165</v>
      </c>
      <c r="L135" s="233" t="s">
        <v>140</v>
      </c>
      <c r="M135" s="234"/>
      <c r="N135" s="233" t="s">
        <v>141</v>
      </c>
      <c r="O135" s="327">
        <f t="shared" si="5"/>
        <v>0</v>
      </c>
      <c r="P135" s="143"/>
      <c r="Q135" s="299"/>
      <c r="R135" s="15"/>
      <c r="S135" s="15"/>
      <c r="T135" s="296"/>
    </row>
    <row r="136" spans="2:20" s="297" customFormat="1" ht="17.100000000000001" customHeight="1">
      <c r="B136" s="295"/>
      <c r="C136" s="143" t="str">
        <f>Texte!A230</f>
        <v>Volaille**</v>
      </c>
      <c r="D136" s="143"/>
      <c r="E136" s="143"/>
      <c r="F136" s="143"/>
      <c r="G136" s="143"/>
      <c r="H136" s="143"/>
      <c r="I136" s="143"/>
      <c r="J136" s="143"/>
      <c r="K136" s="232">
        <v>290</v>
      </c>
      <c r="L136" s="233" t="s">
        <v>140</v>
      </c>
      <c r="M136" s="234"/>
      <c r="N136" s="233" t="s">
        <v>141</v>
      </c>
      <c r="O136" s="327">
        <f t="shared" si="5"/>
        <v>0</v>
      </c>
      <c r="P136" s="143"/>
      <c r="Q136" s="299"/>
      <c r="R136" s="15"/>
      <c r="S136" s="15"/>
      <c r="T136" s="296"/>
    </row>
    <row r="137" spans="2:20" s="297" customFormat="1" ht="17.100000000000001" customHeight="1">
      <c r="B137" s="295"/>
      <c r="C137" s="143" t="str">
        <f>Texte!A484</f>
        <v>Cerfs et bisons</v>
      </c>
      <c r="D137" s="143"/>
      <c r="E137" s="143"/>
      <c r="F137" s="143"/>
      <c r="G137" s="143"/>
      <c r="H137" s="143"/>
      <c r="I137" s="143"/>
      <c r="J137" s="143"/>
      <c r="K137" s="232">
        <v>80</v>
      </c>
      <c r="L137" s="233" t="s">
        <v>140</v>
      </c>
      <c r="M137" s="234"/>
      <c r="N137" s="233" t="s">
        <v>141</v>
      </c>
      <c r="O137" s="327">
        <f t="shared" si="5"/>
        <v>0</v>
      </c>
      <c r="P137" s="143"/>
      <c r="Q137" s="299"/>
      <c r="R137" s="15"/>
      <c r="S137" s="15"/>
      <c r="T137" s="296"/>
    </row>
    <row r="138" spans="2:20" ht="6" customHeight="1">
      <c r="B138" s="12"/>
      <c r="C138" s="33"/>
      <c r="D138" s="33"/>
      <c r="E138" s="54"/>
      <c r="F138" s="54"/>
      <c r="G138" s="54"/>
      <c r="H138" s="11"/>
      <c r="I138" s="40"/>
      <c r="J138" s="17"/>
      <c r="K138" s="47"/>
      <c r="L138" s="23"/>
      <c r="M138" s="49"/>
      <c r="N138" s="23"/>
      <c r="O138" s="49"/>
      <c r="P138" s="54"/>
      <c r="Q138" s="117"/>
      <c r="R138" s="3"/>
      <c r="S138" s="15"/>
    </row>
    <row r="139" spans="2:20" ht="17.100000000000001" customHeight="1">
      <c r="B139" s="12"/>
      <c r="C139" s="608" t="str">
        <f>Texte!A150</f>
        <v>*Aucune contribution SRPA n’est octroyée pour les catégories d’animaux pour lesquelles une contribution à la mise au pâturage est versée</v>
      </c>
      <c r="D139" s="609"/>
      <c r="E139" s="610"/>
      <c r="F139" s="610"/>
      <c r="G139" s="610"/>
      <c r="H139" s="611"/>
      <c r="I139" s="612"/>
      <c r="J139" s="611"/>
      <c r="K139" s="47"/>
      <c r="L139" s="23"/>
      <c r="M139" s="49"/>
      <c r="N139" s="23"/>
      <c r="O139" s="49"/>
      <c r="P139" s="54"/>
      <c r="Q139" s="117"/>
      <c r="R139" s="3"/>
      <c r="S139" s="15"/>
    </row>
    <row r="140" spans="2:20" ht="17.100000000000001" customHeight="1">
      <c r="B140" s="12"/>
      <c r="C140" s="703" t="str">
        <f>Texte!A231</f>
        <v>**Poules pondeuses, poulettes, coqs d'élevage, jeunes coqs, poussins, poulets et dindes</v>
      </c>
      <c r="D140" s="703"/>
      <c r="E140" s="703"/>
      <c r="F140" s="703"/>
      <c r="G140" s="703"/>
      <c r="H140" s="703"/>
      <c r="I140" s="703"/>
      <c r="J140" s="703"/>
      <c r="K140" s="152"/>
      <c r="L140" s="17"/>
      <c r="M140" s="151"/>
      <c r="N140" s="142"/>
      <c r="O140" s="153" t="str">
        <f>Texte!A252</f>
        <v>Somme contributions</v>
      </c>
      <c r="P140" s="54"/>
      <c r="Q140" s="117"/>
      <c r="R140" s="3"/>
    </row>
    <row r="141" spans="2:20" ht="17.100000000000001" customHeight="1">
      <c r="B141" s="135"/>
      <c r="C141" s="703"/>
      <c r="D141" s="703"/>
      <c r="E141" s="703"/>
      <c r="F141" s="703"/>
      <c r="G141" s="703"/>
      <c r="H141" s="703"/>
      <c r="I141" s="703"/>
      <c r="J141" s="703"/>
      <c r="K141" s="283"/>
      <c r="L141" s="113"/>
      <c r="M141" s="115"/>
      <c r="N141" s="23"/>
      <c r="O141" s="115"/>
      <c r="P141" s="17" t="s">
        <v>141</v>
      </c>
      <c r="Q141" s="52">
        <f>SUM(O123:O137)</f>
        <v>0</v>
      </c>
      <c r="R141" s="3"/>
      <c r="T141" s="3"/>
    </row>
    <row r="142" spans="2:20" ht="17.100000000000001" customHeight="1">
      <c r="B142" s="135"/>
      <c r="C142" s="557"/>
      <c r="D142" s="557"/>
      <c r="E142" s="557"/>
      <c r="F142" s="557"/>
      <c r="G142" s="557"/>
      <c r="H142" s="557"/>
      <c r="I142" s="557"/>
      <c r="J142" s="557"/>
      <c r="K142" s="283"/>
      <c r="L142" s="113"/>
      <c r="M142" s="115"/>
      <c r="N142" s="23"/>
      <c r="O142" s="115"/>
      <c r="P142" s="17"/>
      <c r="Q142" s="117"/>
      <c r="R142" s="3"/>
      <c r="T142" s="3"/>
    </row>
    <row r="143" spans="2:20" ht="17.100000000000001" customHeight="1">
      <c r="B143" s="9" t="str">
        <f>Texte!A147</f>
        <v>Contribution à la mise au pâturage</v>
      </c>
      <c r="C143" s="557"/>
      <c r="D143" s="557"/>
      <c r="E143" s="557"/>
      <c r="F143" s="557" t="s">
        <v>490</v>
      </c>
      <c r="G143" s="557"/>
      <c r="H143" s="557"/>
      <c r="I143" s="557"/>
      <c r="J143" s="557"/>
      <c r="K143" s="283"/>
      <c r="L143" s="113"/>
      <c r="M143" s="115"/>
      <c r="N143" s="23"/>
      <c r="O143" s="115"/>
      <c r="P143" s="17"/>
      <c r="Q143" s="117"/>
      <c r="R143" s="3"/>
      <c r="T143" s="3"/>
    </row>
    <row r="144" spans="2:20" ht="17.100000000000001" customHeight="1">
      <c r="B144" s="135"/>
      <c r="C144" s="653" t="str">
        <f>Texte!A511</f>
        <v>vaches laitières</v>
      </c>
      <c r="D144" s="653"/>
      <c r="E144" s="653"/>
      <c r="F144" s="653"/>
      <c r="G144" s="653"/>
      <c r="H144" s="653"/>
      <c r="I144" s="653"/>
      <c r="J144" s="653"/>
      <c r="K144" s="232">
        <v>350</v>
      </c>
      <c r="L144" s="233" t="s">
        <v>140</v>
      </c>
      <c r="M144" s="234"/>
      <c r="N144" s="233" t="s">
        <v>141</v>
      </c>
      <c r="O144" s="327">
        <f>M144*K144</f>
        <v>0</v>
      </c>
      <c r="P144" s="17"/>
      <c r="Q144" s="117"/>
      <c r="R144" s="3"/>
      <c r="T144" s="3"/>
    </row>
    <row r="145" spans="2:20" ht="17.100000000000001" customHeight="1">
      <c r="B145" s="135"/>
      <c r="C145" s="653" t="str">
        <f>Texte!A512</f>
        <v>autres vaches</v>
      </c>
      <c r="D145" s="653"/>
      <c r="E145" s="653"/>
      <c r="F145" s="653"/>
      <c r="G145" s="653"/>
      <c r="H145" s="653"/>
      <c r="I145" s="653"/>
      <c r="J145" s="653"/>
      <c r="K145" s="232">
        <v>350</v>
      </c>
      <c r="L145" s="233" t="s">
        <v>140</v>
      </c>
      <c r="M145" s="631"/>
      <c r="N145" s="233" t="s">
        <v>141</v>
      </c>
      <c r="O145" s="327">
        <f t="shared" ref="O145:O151" si="6">M145*K145</f>
        <v>0</v>
      </c>
      <c r="P145" s="17"/>
      <c r="Q145" s="117"/>
      <c r="R145" s="3"/>
      <c r="T145" s="3"/>
    </row>
    <row r="146" spans="2:20" ht="17.100000000000001" customHeight="1">
      <c r="B146" s="135"/>
      <c r="C146" s="653" t="str">
        <f>Texte!A513</f>
        <v>animaux femelles, de plus de 365 jours au premier vêlage</v>
      </c>
      <c r="D146" s="653"/>
      <c r="E146" s="653"/>
      <c r="F146" s="653"/>
      <c r="G146" s="653"/>
      <c r="H146" s="653"/>
      <c r="I146" s="653"/>
      <c r="J146" s="653"/>
      <c r="K146" s="232">
        <v>350</v>
      </c>
      <c r="L146" s="233" t="s">
        <v>140</v>
      </c>
      <c r="M146" s="631"/>
      <c r="N146" s="233" t="s">
        <v>141</v>
      </c>
      <c r="O146" s="327">
        <f t="shared" si="6"/>
        <v>0</v>
      </c>
      <c r="P146" s="17"/>
      <c r="Q146" s="117"/>
      <c r="R146" s="3"/>
      <c r="T146" s="3"/>
    </row>
    <row r="147" spans="2:20" ht="17.100000000000001" customHeight="1">
      <c r="B147" s="135"/>
      <c r="C147" s="653" t="str">
        <f>Texte!A514</f>
        <v>animaux femelles, de plus de 160 à 365 jours</v>
      </c>
      <c r="D147" s="653"/>
      <c r="E147" s="653"/>
      <c r="F147" s="653"/>
      <c r="G147" s="653"/>
      <c r="H147" s="653"/>
      <c r="I147" s="653"/>
      <c r="J147" s="653"/>
      <c r="K147" s="232">
        <v>350</v>
      </c>
      <c r="L147" s="233" t="s">
        <v>140</v>
      </c>
      <c r="M147" s="631"/>
      <c r="N147" s="233" t="s">
        <v>141</v>
      </c>
      <c r="O147" s="327">
        <f t="shared" si="6"/>
        <v>0</v>
      </c>
      <c r="P147" s="17"/>
      <c r="Q147" s="117"/>
      <c r="R147" s="3"/>
      <c r="T147" s="3"/>
    </row>
    <row r="148" spans="2:20" ht="17.100000000000001" customHeight="1">
      <c r="B148" s="135"/>
      <c r="C148" s="653" t="str">
        <f>Texte!A515</f>
        <v>animaux femelles, jusqu’à 160 jours</v>
      </c>
      <c r="D148" s="653"/>
      <c r="E148" s="653"/>
      <c r="F148" s="653"/>
      <c r="G148" s="653"/>
      <c r="H148" s="653"/>
      <c r="I148" s="653"/>
      <c r="J148" s="653"/>
      <c r="K148" s="232">
        <v>530</v>
      </c>
      <c r="L148" s="233" t="s">
        <v>140</v>
      </c>
      <c r="M148" s="631"/>
      <c r="N148" s="233" t="s">
        <v>141</v>
      </c>
      <c r="O148" s="327">
        <f t="shared" si="6"/>
        <v>0</v>
      </c>
      <c r="P148" s="17"/>
      <c r="Q148" s="117"/>
      <c r="R148" s="3"/>
      <c r="T148" s="3"/>
    </row>
    <row r="149" spans="2:20" ht="17.100000000000001" customHeight="1">
      <c r="B149" s="135"/>
      <c r="C149" s="653" t="str">
        <f>Texte!A516</f>
        <v>animaux mâles, de plus de 730 jours</v>
      </c>
      <c r="D149" s="653"/>
      <c r="E149" s="653"/>
      <c r="F149" s="653"/>
      <c r="G149" s="653"/>
      <c r="H149" s="653"/>
      <c r="I149" s="653"/>
      <c r="J149" s="653"/>
      <c r="K149" s="232">
        <v>350</v>
      </c>
      <c r="L149" s="233" t="s">
        <v>140</v>
      </c>
      <c r="M149" s="631"/>
      <c r="N149" s="233" t="s">
        <v>141</v>
      </c>
      <c r="O149" s="327">
        <f t="shared" si="6"/>
        <v>0</v>
      </c>
      <c r="P149" s="17"/>
      <c r="Q149" s="117"/>
      <c r="R149" s="3"/>
      <c r="T149" s="3"/>
    </row>
    <row r="150" spans="2:20" ht="17.100000000000001" customHeight="1">
      <c r="B150" s="135"/>
      <c r="C150" s="653" t="str">
        <f>Texte!A517</f>
        <v>animaux mâles, de plus de 365 jours à 730 jours</v>
      </c>
      <c r="D150" s="653"/>
      <c r="E150" s="653"/>
      <c r="F150" s="653"/>
      <c r="G150" s="653"/>
      <c r="H150" s="653"/>
      <c r="I150" s="653"/>
      <c r="J150" s="653"/>
      <c r="K150" s="232">
        <v>350</v>
      </c>
      <c r="L150" s="233" t="s">
        <v>140</v>
      </c>
      <c r="M150" s="631"/>
      <c r="N150" s="233" t="s">
        <v>141</v>
      </c>
      <c r="O150" s="327">
        <f t="shared" si="6"/>
        <v>0</v>
      </c>
      <c r="P150" s="17"/>
      <c r="Q150" s="117"/>
      <c r="R150" s="3"/>
      <c r="T150" s="3"/>
    </row>
    <row r="151" spans="2:20" ht="17.100000000000001" customHeight="1">
      <c r="B151" s="135"/>
      <c r="C151" s="653" t="str">
        <f>Texte!A518</f>
        <v>animaux mâles, de plus de 160 jours à 365 jours</v>
      </c>
      <c r="D151" s="653"/>
      <c r="E151" s="653"/>
      <c r="F151" s="653"/>
      <c r="G151" s="653"/>
      <c r="H151" s="653"/>
      <c r="I151" s="653"/>
      <c r="J151" s="653"/>
      <c r="K151" s="232">
        <v>350</v>
      </c>
      <c r="L151" s="233" t="s">
        <v>140</v>
      </c>
      <c r="M151" s="631"/>
      <c r="N151" s="233" t="s">
        <v>141</v>
      </c>
      <c r="O151" s="327">
        <f t="shared" si="6"/>
        <v>0</v>
      </c>
      <c r="P151" s="17"/>
      <c r="Q151" s="117"/>
      <c r="R151" s="3"/>
      <c r="T151" s="3"/>
    </row>
    <row r="152" spans="2:20" ht="17.100000000000001" customHeight="1">
      <c r="B152" s="135"/>
      <c r="C152" s="653" t="str">
        <f>Texte!A519</f>
        <v>animaux mâles, jusqu’à 160 jours</v>
      </c>
      <c r="D152" s="653"/>
      <c r="E152" s="653"/>
      <c r="F152" s="653"/>
      <c r="G152" s="653"/>
      <c r="H152" s="653"/>
      <c r="I152" s="653"/>
      <c r="J152" s="653"/>
      <c r="K152" s="39">
        <v>530</v>
      </c>
      <c r="L152" s="23" t="s">
        <v>140</v>
      </c>
      <c r="M152" s="631"/>
      <c r="N152" s="23" t="s">
        <v>141</v>
      </c>
      <c r="O152" s="327">
        <f>M152*K152</f>
        <v>0</v>
      </c>
      <c r="P152" s="17"/>
      <c r="Q152" s="117"/>
      <c r="R152" s="3"/>
      <c r="T152" s="3"/>
    </row>
    <row r="153" spans="2:20" ht="17.25" customHeight="1">
      <c r="B153" s="135"/>
      <c r="C153" s="692" t="str">
        <f>Texte!A149</f>
        <v>*La contribution n’est octroyée que si des sorties selon les règles SRPA sont accordées à tous les animaux des catégories bovins et buffles d’Asie</v>
      </c>
      <c r="D153" s="692"/>
      <c r="E153" s="692"/>
      <c r="F153" s="692"/>
      <c r="G153" s="692"/>
      <c r="H153" s="692"/>
      <c r="I153" s="692"/>
      <c r="J153" s="17"/>
      <c r="K153" s="47"/>
      <c r="L153" s="23"/>
      <c r="M153" s="49"/>
      <c r="N153" s="23"/>
      <c r="O153" s="49"/>
      <c r="P153" s="54"/>
      <c r="Q153" s="117"/>
      <c r="R153" s="3"/>
      <c r="T153" s="3"/>
    </row>
    <row r="154" spans="2:20" ht="17.25" customHeight="1">
      <c r="B154" s="135"/>
      <c r="C154" s="692"/>
      <c r="D154" s="692"/>
      <c r="E154" s="692"/>
      <c r="F154" s="692"/>
      <c r="G154" s="692"/>
      <c r="H154" s="692"/>
      <c r="I154" s="692"/>
      <c r="J154" s="556"/>
      <c r="K154" s="152"/>
      <c r="L154" s="17"/>
      <c r="M154" s="151"/>
      <c r="N154" s="142"/>
      <c r="O154" s="153" t="str">
        <f>Texte!A252</f>
        <v>Somme contributions</v>
      </c>
      <c r="P154" s="54"/>
      <c r="Q154" s="117"/>
      <c r="R154" s="3"/>
      <c r="T154" s="3"/>
    </row>
    <row r="155" spans="2:20" ht="17.100000000000001" customHeight="1">
      <c r="B155" s="135"/>
      <c r="C155" s="556"/>
      <c r="D155" s="556"/>
      <c r="E155" s="556"/>
      <c r="F155" s="556"/>
      <c r="G155" s="556"/>
      <c r="H155" s="556"/>
      <c r="I155" s="556"/>
      <c r="J155" s="556"/>
      <c r="K155" s="283"/>
      <c r="L155" s="113"/>
      <c r="M155" s="115"/>
      <c r="N155" s="23"/>
      <c r="O155" s="115"/>
      <c r="P155" s="17" t="s">
        <v>141</v>
      </c>
      <c r="Q155" s="52">
        <f>SUM(O144:O152)</f>
        <v>0</v>
      </c>
      <c r="R155" s="3"/>
      <c r="T155" s="3"/>
    </row>
    <row r="156" spans="2:20" ht="17.100000000000001" customHeight="1">
      <c r="B156" s="135"/>
      <c r="C156" s="557"/>
      <c r="D156" s="557"/>
      <c r="E156" s="557"/>
      <c r="F156" s="557"/>
      <c r="G156" s="557"/>
      <c r="H156" s="557"/>
      <c r="I156" s="557"/>
      <c r="J156" s="557"/>
      <c r="K156" s="283"/>
      <c r="L156" s="113"/>
      <c r="M156" s="115"/>
      <c r="N156" s="23"/>
      <c r="O156" s="115"/>
      <c r="P156" s="17"/>
      <c r="Q156" s="117"/>
      <c r="R156" s="3"/>
      <c r="T156" s="3"/>
    </row>
    <row r="157" spans="2:20" ht="17.100000000000001" customHeight="1">
      <c r="B157" s="590" t="str">
        <f>Texte!A153</f>
        <v>Durée de vie productive plus longue des vaches</v>
      </c>
      <c r="C157" s="599"/>
      <c r="D157" s="599"/>
      <c r="E157" s="599"/>
      <c r="F157" s="599"/>
      <c r="G157" s="599"/>
      <c r="H157" s="599"/>
      <c r="I157" s="600"/>
      <c r="J157" s="599"/>
      <c r="K157" s="584"/>
      <c r="L157" s="598"/>
      <c r="M157" s="584"/>
      <c r="N157" s="586"/>
      <c r="O157" s="584"/>
      <c r="P157" s="585"/>
      <c r="Q157" s="587"/>
      <c r="R157" s="3"/>
      <c r="T157" s="3"/>
    </row>
    <row r="158" spans="2:20" ht="30" customHeight="1">
      <c r="B158" s="9"/>
      <c r="C158" s="563"/>
      <c r="D158" s="563"/>
      <c r="E158" s="563"/>
      <c r="F158" s="563"/>
      <c r="G158" s="563"/>
      <c r="H158" s="653" t="str">
        <f>Texte!A156</f>
        <v>Nombre moyen de vêlages</v>
      </c>
      <c r="I158" s="653"/>
      <c r="J158" s="607" t="s">
        <v>490</v>
      </c>
      <c r="K158" s="115" t="str">
        <f>Texte!A190</f>
        <v>Montant (Fr.)</v>
      </c>
      <c r="L158" s="113" t="s">
        <v>1223</v>
      </c>
      <c r="M158" s="115" t="str">
        <f>Texte!A503</f>
        <v>UGB vaches</v>
      </c>
      <c r="N158" s="23"/>
      <c r="O158" s="115" t="str">
        <f>Texte!A253</f>
        <v>Sous-total</v>
      </c>
      <c r="P158" s="17"/>
      <c r="Q158" s="117"/>
      <c r="R158" s="3"/>
      <c r="T158" s="3"/>
    </row>
    <row r="159" spans="2:20" ht="17.100000000000001" customHeight="1">
      <c r="B159" s="135"/>
      <c r="C159" s="558" t="str">
        <f>Texte!A154</f>
        <v>Vaches laitières</v>
      </c>
      <c r="D159" s="557"/>
      <c r="E159" s="557"/>
      <c r="F159" s="557"/>
      <c r="G159" s="557"/>
      <c r="H159" s="704"/>
      <c r="I159" s="704"/>
      <c r="J159" s="557"/>
      <c r="K159" s="242">
        <f>IF(H159&lt;3,0,IF(H159&gt;=7,200,10+((200-10)/(7-3)*(H159-3))))</f>
        <v>0</v>
      </c>
      <c r="L159" s="233" t="s">
        <v>140</v>
      </c>
      <c r="M159" s="234"/>
      <c r="N159" s="233" t="s">
        <v>141</v>
      </c>
      <c r="O159" s="327">
        <f>M159*K159</f>
        <v>0</v>
      </c>
      <c r="P159" s="17"/>
      <c r="Q159" s="117"/>
      <c r="R159" s="3"/>
      <c r="T159" s="3"/>
    </row>
    <row r="160" spans="2:20" ht="17.100000000000001" customHeight="1">
      <c r="B160" s="135"/>
      <c r="C160" s="558" t="str">
        <f>Texte!A155</f>
        <v>Autres vaches</v>
      </c>
      <c r="D160" s="557"/>
      <c r="E160" s="557"/>
      <c r="F160" s="557"/>
      <c r="G160" s="557"/>
      <c r="H160" s="705"/>
      <c r="I160" s="705"/>
      <c r="J160" s="557"/>
      <c r="K160" s="242">
        <f>IF(H160&lt;4,0,IF(H160&gt;=8,200,10+((200-10)/(8-4)*(H160-4))))</f>
        <v>0</v>
      </c>
      <c r="L160" s="23" t="s">
        <v>140</v>
      </c>
      <c r="M160" s="234"/>
      <c r="N160" s="23" t="s">
        <v>141</v>
      </c>
      <c r="O160" s="327">
        <f>M160*K160</f>
        <v>0</v>
      </c>
      <c r="P160" s="17"/>
      <c r="Q160" s="117"/>
      <c r="R160" s="3"/>
      <c r="T160" s="3"/>
    </row>
    <row r="161" spans="1:20" ht="17.100000000000001" customHeight="1">
      <c r="B161" s="135"/>
      <c r="C161" s="557"/>
      <c r="D161" s="557"/>
      <c r="E161" s="557"/>
      <c r="F161" s="557"/>
      <c r="G161" s="557"/>
      <c r="H161" s="557"/>
      <c r="I161" s="557"/>
      <c r="J161" s="557"/>
      <c r="K161" s="283"/>
      <c r="L161" s="113"/>
      <c r="M161" s="115"/>
      <c r="N161" s="23"/>
      <c r="O161" s="49"/>
      <c r="P161" s="54"/>
      <c r="Q161" s="117"/>
      <c r="R161" s="3"/>
      <c r="T161" s="3"/>
    </row>
    <row r="162" spans="1:20" ht="30" customHeight="1">
      <c r="B162" s="135"/>
      <c r="C162" s="703" t="str">
        <f>Texte!A157</f>
        <v>*par vache qui a été abattue au cours des trois années civiles précédentes</v>
      </c>
      <c r="D162" s="703"/>
      <c r="E162" s="703"/>
      <c r="F162" s="703"/>
      <c r="G162" s="703"/>
      <c r="H162" s="557"/>
      <c r="I162" s="557"/>
      <c r="J162" s="557"/>
      <c r="K162" s="283"/>
      <c r="L162" s="113"/>
      <c r="M162" s="115"/>
      <c r="N162" s="142"/>
      <c r="O162" s="153" t="str">
        <f>Texte!A252</f>
        <v>Somme contributions</v>
      </c>
      <c r="P162" s="54"/>
      <c r="Q162" s="117"/>
      <c r="R162" s="3"/>
      <c r="T162" s="3"/>
    </row>
    <row r="163" spans="1:20" ht="24.95" customHeight="1">
      <c r="B163" s="135"/>
      <c r="C163" s="703" t="str">
        <f>Texte!A502</f>
        <v xml:space="preserve">**Le montant est proportionnel au nombre moyen de vêlages: pour les vaches laitières entre 10 francs pour une moyenne de 3 vêlages et 200 francs pour une moyenne de 7 vêlages et plus;
pour les autres vaches: entre 10 francs pour une moyenne de 4 vêlages et 200 francs pour une moyenne de 8 vêlages et plus
</v>
      </c>
      <c r="D163" s="703"/>
      <c r="E163" s="703"/>
      <c r="F163" s="703"/>
      <c r="G163" s="703"/>
      <c r="H163" s="557"/>
      <c r="I163" s="557"/>
      <c r="J163" s="557"/>
      <c r="K163" s="283"/>
      <c r="L163" s="113"/>
      <c r="M163" s="115"/>
      <c r="N163" s="23"/>
      <c r="O163" s="115"/>
      <c r="P163" s="17" t="s">
        <v>141</v>
      </c>
      <c r="Q163" s="52">
        <f>SUM(O159:O160)</f>
        <v>0</v>
      </c>
      <c r="R163" s="3"/>
      <c r="T163" s="3"/>
    </row>
    <row r="164" spans="1:20" ht="24.95" customHeight="1">
      <c r="B164" s="135"/>
      <c r="C164" s="703"/>
      <c r="D164" s="703"/>
      <c r="E164" s="703"/>
      <c r="F164" s="703"/>
      <c r="G164" s="703"/>
      <c r="H164" s="563"/>
      <c r="I164" s="563"/>
      <c r="J164" s="563"/>
      <c r="K164" s="283"/>
      <c r="L164" s="113"/>
      <c r="M164" s="115"/>
      <c r="N164" s="23"/>
      <c r="O164" s="115"/>
      <c r="P164" s="17"/>
      <c r="Q164" s="131"/>
      <c r="R164" s="3"/>
      <c r="T164" s="3"/>
    </row>
    <row r="165" spans="1:20" s="186" customFormat="1" ht="17.100000000000001" customHeight="1">
      <c r="A165" s="184"/>
      <c r="B165" s="12"/>
      <c r="C165" s="17"/>
      <c r="D165" s="17"/>
      <c r="E165" s="19"/>
      <c r="F165" s="115"/>
      <c r="G165" s="115"/>
      <c r="H165" s="114"/>
      <c r="I165" s="115"/>
      <c r="J165" s="115"/>
      <c r="K165" s="115"/>
      <c r="L165" s="26"/>
      <c r="M165" s="115"/>
      <c r="N165" s="23"/>
      <c r="O165" s="115"/>
      <c r="P165" s="17"/>
      <c r="Q165" s="52"/>
      <c r="R165" s="11"/>
      <c r="S165" s="184"/>
      <c r="T165" s="16"/>
    </row>
    <row r="166" spans="1:20" s="186" customFormat="1" ht="17.100000000000001" customHeight="1">
      <c r="B166" s="145" t="str">
        <f>Texte!A275</f>
        <v>Total contributions au système de production</v>
      </c>
      <c r="C166" s="54"/>
      <c r="D166" s="54"/>
      <c r="E166" s="54"/>
      <c r="F166" s="54"/>
      <c r="G166" s="54"/>
      <c r="H166" s="54"/>
      <c r="I166" s="54"/>
      <c r="J166" s="54"/>
      <c r="K166" s="54"/>
      <c r="L166" s="54"/>
      <c r="M166" s="54"/>
      <c r="N166" s="54"/>
      <c r="O166" s="63"/>
      <c r="P166" s="17"/>
      <c r="Q166" s="191">
        <f>Q13+Q23+Q29+Q34+Q39+Q46+Q54+Q64+Q69+Q80+Q107+Q119+Q141+Q155+Q163</f>
        <v>0</v>
      </c>
      <c r="R166" s="15"/>
      <c r="S166" s="184"/>
      <c r="T166" s="16"/>
    </row>
    <row r="167" spans="1:20" ht="6" customHeight="1">
      <c r="A167" s="186"/>
      <c r="B167" s="124"/>
      <c r="C167" s="75"/>
      <c r="D167" s="75"/>
      <c r="E167" s="75"/>
      <c r="F167" s="75"/>
      <c r="G167" s="75"/>
      <c r="H167" s="30"/>
      <c r="I167" s="30"/>
      <c r="J167" s="30"/>
      <c r="K167" s="75"/>
      <c r="L167" s="75"/>
      <c r="M167" s="75"/>
      <c r="N167" s="75"/>
      <c r="O167" s="75"/>
      <c r="P167" s="75"/>
      <c r="Q167" s="149"/>
      <c r="R167" s="15"/>
      <c r="S167" s="15"/>
    </row>
    <row r="168" spans="1:20" s="186" customFormat="1" ht="30" customHeight="1">
      <c r="A168" s="184"/>
      <c r="B168" s="184"/>
      <c r="C168" s="702" t="str">
        <f>Texte!A327</f>
        <v>Etat selon modifications d'ordonnances dans le cadre de l'initiative parlementaire 19.475 d'avril 2022. 
AGRIDEA décline toute responsabilité quant aux conséquences de l’utilisation de cet outil.                                                          Version 4.9.3</v>
      </c>
      <c r="D168" s="702"/>
      <c r="E168" s="702"/>
      <c r="F168" s="702"/>
      <c r="G168" s="702"/>
      <c r="H168" s="702"/>
      <c r="I168" s="702"/>
      <c r="J168" s="702"/>
      <c r="K168" s="702"/>
      <c r="L168" s="702"/>
      <c r="M168" s="702"/>
      <c r="N168" s="702"/>
      <c r="O168" s="702"/>
      <c r="P168" s="702"/>
      <c r="Q168" s="702"/>
      <c r="R168" s="184"/>
      <c r="S168" s="15"/>
      <c r="T168" s="16"/>
    </row>
    <row r="169" spans="1:20" ht="14.1" customHeight="1">
      <c r="A169" s="186"/>
      <c r="B169" s="2"/>
      <c r="C169" s="2"/>
      <c r="D169" s="2"/>
      <c r="E169" s="2"/>
      <c r="F169" s="2"/>
      <c r="G169" s="2"/>
      <c r="H169" s="2"/>
      <c r="I169" s="2"/>
      <c r="J169" s="2"/>
      <c r="K169" s="2"/>
      <c r="L169" s="2"/>
      <c r="M169" s="2"/>
      <c r="N169" s="2"/>
      <c r="O169" s="2"/>
      <c r="P169" s="2"/>
      <c r="Q169" s="2"/>
      <c r="R169" s="11"/>
      <c r="T169" s="3"/>
    </row>
    <row r="170" spans="1:20" ht="14.1" customHeight="1">
      <c r="B170" s="2"/>
      <c r="C170" s="2"/>
      <c r="D170" s="2"/>
      <c r="E170" s="2"/>
      <c r="F170" s="2"/>
      <c r="G170" s="2"/>
      <c r="H170" s="2"/>
      <c r="I170" s="2"/>
      <c r="J170" s="2"/>
      <c r="K170" s="2"/>
      <c r="L170" s="2"/>
      <c r="M170" s="2"/>
      <c r="N170" s="2"/>
      <c r="O170" s="2"/>
      <c r="P170" s="2"/>
      <c r="Q170" s="2"/>
      <c r="R170" s="2"/>
      <c r="S170" s="11"/>
      <c r="T170" s="3"/>
    </row>
    <row r="171" spans="1:20" ht="14.1" customHeight="1">
      <c r="B171" s="2"/>
      <c r="C171" s="2"/>
      <c r="D171" s="2"/>
      <c r="E171" s="2"/>
      <c r="F171" s="2"/>
      <c r="G171" s="2"/>
      <c r="H171" s="2"/>
      <c r="I171" s="2"/>
      <c r="J171" s="2"/>
      <c r="K171" s="2"/>
      <c r="L171" s="2"/>
      <c r="M171" s="2"/>
      <c r="N171" s="2"/>
      <c r="O171" s="2"/>
      <c r="P171" s="2"/>
      <c r="Q171" s="2"/>
      <c r="R171" s="2"/>
      <c r="S171" s="2"/>
      <c r="T171" s="3"/>
    </row>
    <row r="172" spans="1:20" ht="14.1" customHeight="1">
      <c r="B172" s="2"/>
      <c r="C172" s="2"/>
      <c r="D172" s="2"/>
      <c r="E172" s="2"/>
      <c r="F172" s="2"/>
      <c r="G172" s="2"/>
      <c r="H172" s="2"/>
      <c r="I172" s="2"/>
      <c r="J172" s="2"/>
      <c r="K172" s="2"/>
      <c r="L172" s="2"/>
      <c r="M172" s="2"/>
      <c r="N172" s="2"/>
      <c r="O172" s="2"/>
      <c r="P172" s="2"/>
      <c r="Q172" s="2"/>
      <c r="R172" s="2"/>
      <c r="S172" s="2"/>
      <c r="T172" s="3"/>
    </row>
    <row r="173" spans="1:20" ht="14.1" customHeight="1">
      <c r="B173" s="2"/>
      <c r="C173" s="2"/>
      <c r="D173" s="2"/>
      <c r="E173" s="2"/>
      <c r="F173" s="2"/>
      <c r="G173" s="2"/>
      <c r="H173" s="2"/>
      <c r="I173" s="2"/>
      <c r="J173" s="2"/>
      <c r="K173" s="2"/>
      <c r="L173" s="2"/>
      <c r="M173" s="2"/>
      <c r="N173" s="2"/>
      <c r="O173" s="2"/>
      <c r="P173" s="2"/>
      <c r="Q173" s="2"/>
      <c r="R173" s="2"/>
      <c r="S173" s="2"/>
      <c r="T173" s="3"/>
    </row>
    <row r="174" spans="1:20" ht="14.1" customHeight="1">
      <c r="B174" s="2"/>
      <c r="C174" s="2"/>
      <c r="D174" s="2"/>
      <c r="E174" s="2"/>
      <c r="F174" s="2"/>
      <c r="G174" s="2"/>
      <c r="H174" s="2"/>
      <c r="I174" s="2"/>
      <c r="J174" s="2"/>
      <c r="K174" s="2"/>
      <c r="L174" s="2"/>
      <c r="M174" s="2"/>
      <c r="N174" s="2"/>
      <c r="O174" s="2"/>
      <c r="P174" s="2"/>
      <c r="Q174" s="2"/>
      <c r="R174" s="2"/>
      <c r="S174" s="2"/>
      <c r="T174" s="3"/>
    </row>
    <row r="175" spans="1:20" ht="14.1" customHeight="1">
      <c r="B175" s="2"/>
      <c r="C175" s="2"/>
      <c r="D175" s="2"/>
      <c r="E175" s="2"/>
      <c r="F175" s="2"/>
      <c r="G175" s="2"/>
      <c r="H175" s="2"/>
      <c r="I175" s="2"/>
      <c r="J175" s="2"/>
      <c r="K175" s="2"/>
      <c r="L175" s="2"/>
      <c r="M175" s="2"/>
      <c r="N175" s="2"/>
      <c r="O175" s="2"/>
      <c r="P175" s="2"/>
      <c r="Q175" s="2"/>
      <c r="R175" s="2"/>
      <c r="S175" s="2"/>
      <c r="T175" s="3"/>
    </row>
    <row r="176" spans="1:20" ht="14.1" customHeight="1">
      <c r="B176" s="2"/>
      <c r="C176" s="2"/>
      <c r="D176" s="2"/>
      <c r="E176" s="2"/>
      <c r="F176" s="2"/>
      <c r="G176" s="2"/>
      <c r="H176" s="2"/>
      <c r="I176" s="2"/>
      <c r="J176" s="2"/>
      <c r="K176" s="2"/>
      <c r="L176" s="2"/>
      <c r="M176" s="2"/>
      <c r="N176" s="2"/>
      <c r="O176" s="2"/>
      <c r="P176" s="2"/>
      <c r="Q176" s="2"/>
      <c r="R176" s="2"/>
      <c r="S176" s="2"/>
      <c r="T176" s="3"/>
    </row>
    <row r="177" spans="2:20" ht="14.1" customHeight="1">
      <c r="B177" s="2"/>
      <c r="C177" s="2"/>
      <c r="D177" s="2"/>
      <c r="E177" s="2"/>
      <c r="F177" s="2"/>
      <c r="G177" s="2"/>
      <c r="H177" s="2"/>
      <c r="I177" s="2"/>
      <c r="J177" s="2"/>
      <c r="K177" s="2"/>
      <c r="L177" s="2"/>
      <c r="M177" s="2"/>
      <c r="N177" s="2"/>
      <c r="O177" s="2"/>
      <c r="P177" s="2"/>
      <c r="Q177" s="2"/>
      <c r="R177" s="2"/>
      <c r="S177" s="2"/>
      <c r="T177" s="3"/>
    </row>
    <row r="178" spans="2:20" ht="14.1" customHeight="1">
      <c r="B178" s="2"/>
      <c r="C178" s="2"/>
      <c r="D178" s="2"/>
      <c r="E178" s="2"/>
      <c r="F178" s="2"/>
      <c r="G178" s="2"/>
      <c r="H178" s="2"/>
      <c r="I178" s="2"/>
      <c r="J178" s="2"/>
      <c r="K178" s="2"/>
      <c r="L178" s="2"/>
      <c r="M178" s="2"/>
      <c r="N178" s="2"/>
      <c r="O178" s="2"/>
      <c r="P178" s="2"/>
      <c r="Q178" s="2"/>
      <c r="R178" s="2"/>
      <c r="S178" s="2"/>
      <c r="T178" s="3"/>
    </row>
    <row r="179" spans="2:20" ht="14.1" customHeight="1">
      <c r="B179" s="2"/>
      <c r="C179" s="2"/>
      <c r="D179" s="2"/>
      <c r="E179" s="2"/>
      <c r="F179" s="2"/>
      <c r="G179" s="2"/>
      <c r="H179" s="2"/>
      <c r="I179" s="2"/>
      <c r="J179" s="2"/>
      <c r="K179" s="2"/>
      <c r="L179" s="2"/>
      <c r="M179" s="2"/>
      <c r="N179" s="2"/>
      <c r="O179" s="2"/>
      <c r="P179" s="2"/>
      <c r="Q179" s="2"/>
      <c r="R179" s="2"/>
      <c r="S179" s="2"/>
      <c r="T179" s="3"/>
    </row>
    <row r="180" spans="2:20" ht="14.1" customHeight="1">
      <c r="B180" s="2"/>
      <c r="C180" s="2"/>
      <c r="D180" s="2"/>
      <c r="E180" s="2"/>
      <c r="F180" s="2"/>
      <c r="G180" s="2"/>
      <c r="H180" s="2"/>
      <c r="I180" s="2"/>
      <c r="J180" s="2"/>
      <c r="K180" s="2"/>
      <c r="L180" s="2"/>
      <c r="M180" s="2"/>
      <c r="N180" s="2"/>
      <c r="O180" s="2"/>
      <c r="P180" s="2"/>
      <c r="Q180" s="2"/>
      <c r="R180" s="2"/>
      <c r="S180" s="2"/>
      <c r="T180" s="3"/>
    </row>
    <row r="181" spans="2:20" ht="14.1" customHeight="1">
      <c r="B181" s="2"/>
      <c r="C181" s="2"/>
      <c r="D181" s="2"/>
      <c r="E181" s="2"/>
      <c r="F181" s="2"/>
      <c r="G181" s="2"/>
      <c r="H181" s="2"/>
      <c r="I181" s="2"/>
      <c r="J181" s="2"/>
      <c r="K181" s="2"/>
      <c r="L181" s="2"/>
      <c r="M181" s="2"/>
      <c r="N181" s="2"/>
      <c r="O181" s="2"/>
      <c r="P181" s="2"/>
      <c r="Q181" s="2"/>
      <c r="R181" s="2"/>
      <c r="S181" s="2"/>
      <c r="T181" s="3"/>
    </row>
    <row r="182" spans="2:20" ht="14.1" customHeight="1">
      <c r="B182" s="2"/>
      <c r="C182" s="2"/>
      <c r="D182" s="2"/>
      <c r="E182" s="2"/>
      <c r="F182" s="2"/>
      <c r="G182" s="2"/>
      <c r="H182" s="2"/>
      <c r="I182" s="2"/>
      <c r="J182" s="2"/>
      <c r="K182" s="2"/>
      <c r="L182" s="2"/>
      <c r="M182" s="2"/>
      <c r="N182" s="2"/>
      <c r="O182" s="2"/>
      <c r="P182" s="2"/>
      <c r="Q182" s="2"/>
      <c r="R182" s="2"/>
      <c r="S182" s="2"/>
      <c r="T182" s="3"/>
    </row>
    <row r="183" spans="2:20" ht="14.1" customHeight="1">
      <c r="B183" s="2"/>
      <c r="C183" s="2"/>
      <c r="D183" s="2"/>
      <c r="E183" s="2"/>
      <c r="F183" s="2"/>
      <c r="G183" s="2"/>
      <c r="H183" s="2"/>
      <c r="I183" s="2"/>
      <c r="J183" s="2"/>
      <c r="K183" s="2"/>
      <c r="L183" s="2"/>
      <c r="M183" s="2"/>
      <c r="N183" s="2"/>
      <c r="O183" s="2"/>
      <c r="P183" s="2"/>
      <c r="Q183" s="2"/>
      <c r="R183" s="2"/>
      <c r="S183" s="2"/>
      <c r="T183" s="3"/>
    </row>
    <row r="184" spans="2:20" ht="14.1" customHeight="1">
      <c r="B184" s="2"/>
      <c r="C184" s="2"/>
      <c r="D184" s="2"/>
      <c r="E184" s="2"/>
      <c r="F184" s="2"/>
      <c r="G184" s="2"/>
      <c r="H184" s="2"/>
      <c r="I184" s="2"/>
      <c r="J184" s="2"/>
      <c r="K184" s="2"/>
      <c r="L184" s="2"/>
      <c r="M184" s="2"/>
      <c r="N184" s="2"/>
      <c r="O184" s="2"/>
      <c r="P184" s="2"/>
      <c r="Q184" s="2"/>
      <c r="R184" s="2"/>
      <c r="S184" s="2"/>
      <c r="T184" s="3"/>
    </row>
    <row r="185" spans="2:20" ht="14.1" customHeight="1">
      <c r="B185" s="2"/>
      <c r="C185" s="2"/>
      <c r="D185" s="2"/>
      <c r="E185" s="2"/>
      <c r="F185" s="2"/>
      <c r="G185" s="2"/>
      <c r="H185" s="2"/>
      <c r="I185" s="2"/>
      <c r="J185" s="2"/>
      <c r="K185" s="2"/>
      <c r="L185" s="2"/>
      <c r="M185" s="2"/>
      <c r="N185" s="2"/>
      <c r="O185" s="2"/>
      <c r="P185" s="2"/>
      <c r="Q185" s="2"/>
      <c r="R185" s="2"/>
      <c r="S185" s="2"/>
      <c r="T185" s="3"/>
    </row>
    <row r="186" spans="2:20" ht="14.1" customHeight="1">
      <c r="B186" s="2"/>
      <c r="C186" s="2"/>
      <c r="D186" s="2"/>
      <c r="E186" s="2"/>
      <c r="F186" s="2"/>
      <c r="G186" s="2"/>
      <c r="H186" s="2"/>
      <c r="I186" s="2"/>
      <c r="J186" s="2"/>
      <c r="K186" s="2"/>
      <c r="L186" s="2"/>
      <c r="M186" s="2"/>
      <c r="N186" s="2"/>
      <c r="O186" s="2"/>
      <c r="P186" s="2"/>
      <c r="Q186" s="2"/>
      <c r="R186" s="2"/>
      <c r="S186" s="2"/>
      <c r="T186" s="3"/>
    </row>
    <row r="187" spans="2:20" ht="14.1" customHeight="1">
      <c r="B187" s="2"/>
      <c r="C187" s="2"/>
      <c r="D187" s="2"/>
      <c r="E187" s="2"/>
      <c r="F187" s="2"/>
      <c r="G187" s="2"/>
      <c r="H187" s="2"/>
      <c r="I187" s="2"/>
      <c r="J187" s="2"/>
      <c r="K187" s="2"/>
      <c r="L187" s="2"/>
      <c r="M187" s="2"/>
      <c r="N187" s="2"/>
      <c r="O187" s="2"/>
      <c r="P187" s="2"/>
      <c r="Q187" s="2"/>
      <c r="R187" s="2"/>
      <c r="S187" s="2"/>
      <c r="T187" s="3"/>
    </row>
    <row r="188" spans="2:20" ht="14.1" customHeight="1">
      <c r="B188" s="2"/>
      <c r="C188" s="2"/>
      <c r="D188" s="2"/>
      <c r="E188" s="2"/>
      <c r="F188" s="2"/>
      <c r="G188" s="2"/>
      <c r="H188" s="2"/>
      <c r="I188" s="2"/>
      <c r="J188" s="2"/>
      <c r="K188" s="2"/>
      <c r="L188" s="2"/>
      <c r="M188" s="2"/>
      <c r="N188" s="2"/>
      <c r="O188" s="2"/>
      <c r="P188" s="2"/>
      <c r="Q188" s="2"/>
      <c r="R188" s="2"/>
      <c r="S188" s="2"/>
      <c r="T188" s="3"/>
    </row>
    <row r="189" spans="2:20" ht="14.1" customHeight="1">
      <c r="B189" s="2"/>
      <c r="C189" s="2"/>
      <c r="D189" s="2"/>
      <c r="E189" s="2"/>
      <c r="F189" s="2"/>
      <c r="G189" s="2"/>
      <c r="H189" s="2"/>
      <c r="I189" s="2"/>
      <c r="J189" s="2"/>
      <c r="K189" s="2"/>
      <c r="L189" s="2"/>
      <c r="M189" s="2"/>
      <c r="N189" s="2"/>
      <c r="O189" s="2"/>
      <c r="P189" s="2"/>
      <c r="Q189" s="2"/>
      <c r="R189" s="2"/>
      <c r="S189" s="2"/>
      <c r="T189" s="3"/>
    </row>
    <row r="190" spans="2:20" ht="14.1" customHeight="1">
      <c r="B190" s="2"/>
      <c r="C190" s="2"/>
      <c r="D190" s="2"/>
      <c r="E190" s="2"/>
      <c r="F190" s="2"/>
      <c r="G190" s="2"/>
      <c r="H190" s="2"/>
      <c r="I190" s="2"/>
      <c r="J190" s="2"/>
      <c r="K190" s="2"/>
      <c r="L190" s="2"/>
      <c r="M190" s="2"/>
      <c r="N190" s="2"/>
      <c r="O190" s="2"/>
      <c r="P190" s="2"/>
      <c r="Q190" s="2"/>
      <c r="R190" s="2"/>
      <c r="S190" s="2"/>
      <c r="T190" s="3"/>
    </row>
    <row r="191" spans="2:20" ht="14.1" customHeight="1">
      <c r="B191" s="2"/>
      <c r="C191" s="2"/>
      <c r="D191" s="2"/>
      <c r="E191" s="2"/>
      <c r="F191" s="2"/>
      <c r="G191" s="2"/>
      <c r="H191" s="2"/>
      <c r="I191" s="2"/>
      <c r="J191" s="2"/>
      <c r="K191" s="2"/>
      <c r="L191" s="2"/>
      <c r="M191" s="2"/>
      <c r="N191" s="2"/>
      <c r="O191" s="2"/>
      <c r="P191" s="2"/>
      <c r="Q191" s="2"/>
      <c r="R191" s="2"/>
      <c r="S191" s="2"/>
      <c r="T191" s="3"/>
    </row>
    <row r="192" spans="2:20" ht="14.1" customHeight="1">
      <c r="B192" s="2"/>
      <c r="C192" s="2"/>
      <c r="D192" s="2"/>
      <c r="E192" s="2"/>
      <c r="F192" s="2"/>
      <c r="G192" s="2"/>
      <c r="H192" s="2"/>
      <c r="I192" s="2"/>
      <c r="J192" s="2"/>
      <c r="K192" s="2"/>
      <c r="L192" s="2"/>
      <c r="M192" s="2"/>
      <c r="N192" s="2"/>
      <c r="O192" s="2"/>
      <c r="P192" s="2"/>
      <c r="Q192" s="2"/>
      <c r="R192" s="2"/>
      <c r="S192" s="2"/>
      <c r="T192" s="3"/>
    </row>
    <row r="193" spans="2:20" ht="14.1" customHeight="1">
      <c r="B193" s="2"/>
      <c r="C193" s="2"/>
      <c r="D193" s="2"/>
      <c r="E193" s="2"/>
      <c r="F193" s="2"/>
      <c r="G193" s="2"/>
      <c r="H193" s="2"/>
      <c r="I193" s="2"/>
      <c r="J193" s="2"/>
      <c r="K193" s="2"/>
      <c r="L193" s="2"/>
      <c r="M193" s="2"/>
      <c r="N193" s="2"/>
      <c r="O193" s="2"/>
      <c r="P193" s="2"/>
      <c r="Q193" s="2"/>
      <c r="R193" s="2"/>
      <c r="S193" s="2"/>
      <c r="T193" s="3"/>
    </row>
    <row r="194" spans="2:20" ht="14.1" customHeight="1">
      <c r="B194" s="2"/>
      <c r="C194" s="2"/>
      <c r="D194" s="2"/>
      <c r="E194" s="2"/>
      <c r="F194" s="2"/>
      <c r="G194" s="2"/>
      <c r="H194" s="2"/>
      <c r="I194" s="2"/>
      <c r="J194" s="2"/>
      <c r="K194" s="2"/>
      <c r="L194" s="2"/>
      <c r="M194" s="2"/>
      <c r="N194" s="2"/>
      <c r="O194" s="2"/>
      <c r="P194" s="2"/>
      <c r="Q194" s="2"/>
      <c r="R194" s="2"/>
      <c r="S194" s="2"/>
      <c r="T194" s="3"/>
    </row>
    <row r="195" spans="2:20" ht="14.1" customHeight="1">
      <c r="B195" s="2"/>
      <c r="C195" s="2"/>
      <c r="D195" s="2"/>
      <c r="E195" s="2"/>
      <c r="F195" s="2"/>
      <c r="G195" s="2"/>
      <c r="H195" s="2"/>
      <c r="I195" s="2"/>
      <c r="J195" s="2"/>
      <c r="K195" s="2"/>
      <c r="L195" s="2"/>
      <c r="M195" s="2"/>
      <c r="N195" s="2"/>
      <c r="O195" s="2"/>
      <c r="P195" s="2"/>
      <c r="Q195" s="2"/>
      <c r="R195" s="2"/>
      <c r="S195" s="2"/>
      <c r="T195" s="3"/>
    </row>
    <row r="196" spans="2:20" ht="14.1" customHeight="1">
      <c r="B196" s="2"/>
      <c r="C196" s="2"/>
      <c r="D196" s="2"/>
      <c r="E196" s="2"/>
      <c r="F196" s="2"/>
      <c r="G196" s="2"/>
      <c r="H196" s="2"/>
      <c r="I196" s="2"/>
      <c r="J196" s="2"/>
      <c r="K196" s="2"/>
      <c r="L196" s="2"/>
      <c r="M196" s="2"/>
      <c r="N196" s="2"/>
      <c r="O196" s="2"/>
      <c r="P196" s="2"/>
      <c r="Q196" s="2"/>
      <c r="R196" s="2"/>
      <c r="S196" s="2"/>
      <c r="T196" s="3"/>
    </row>
    <row r="197" spans="2:20" ht="14.1" customHeight="1">
      <c r="B197" s="2"/>
      <c r="C197" s="2"/>
      <c r="D197" s="2"/>
      <c r="E197" s="2"/>
      <c r="F197" s="2"/>
      <c r="G197" s="2"/>
      <c r="H197" s="2"/>
      <c r="I197" s="2"/>
      <c r="J197" s="2"/>
      <c r="K197" s="2"/>
      <c r="L197" s="2"/>
      <c r="M197" s="2"/>
      <c r="N197" s="2"/>
      <c r="O197" s="2"/>
      <c r="P197" s="2"/>
      <c r="Q197" s="2"/>
      <c r="R197" s="2"/>
      <c r="S197" s="2"/>
      <c r="T197" s="3"/>
    </row>
    <row r="198" spans="2:20" ht="14.1" customHeight="1">
      <c r="B198" s="2"/>
      <c r="C198" s="2"/>
      <c r="D198" s="2"/>
      <c r="E198" s="2"/>
      <c r="F198" s="2"/>
      <c r="G198" s="2"/>
      <c r="H198" s="2"/>
      <c r="I198" s="2"/>
      <c r="J198" s="2"/>
      <c r="K198" s="2"/>
      <c r="L198" s="2"/>
      <c r="M198" s="2"/>
      <c r="N198" s="2"/>
      <c r="O198" s="2"/>
      <c r="P198" s="2"/>
      <c r="Q198" s="2"/>
      <c r="R198" s="2"/>
      <c r="S198" s="2"/>
      <c r="T198" s="3"/>
    </row>
    <row r="199" spans="2:20" ht="14.1" customHeight="1">
      <c r="B199" s="2"/>
      <c r="C199" s="2"/>
      <c r="D199" s="2"/>
      <c r="E199" s="2"/>
      <c r="F199" s="2"/>
      <c r="G199" s="2"/>
      <c r="H199" s="2"/>
      <c r="I199" s="2"/>
      <c r="J199" s="2"/>
      <c r="K199" s="2"/>
      <c r="L199" s="2"/>
      <c r="M199" s="2"/>
      <c r="N199" s="2"/>
      <c r="O199" s="2"/>
      <c r="P199" s="2"/>
      <c r="Q199" s="2"/>
      <c r="R199" s="2"/>
      <c r="S199" s="2"/>
      <c r="T199" s="3"/>
    </row>
    <row r="200" spans="2:20" ht="14.1" customHeight="1">
      <c r="B200" s="2"/>
      <c r="C200" s="2"/>
      <c r="D200" s="2"/>
      <c r="E200" s="2"/>
      <c r="F200" s="2"/>
      <c r="G200" s="2"/>
      <c r="H200" s="2"/>
      <c r="I200" s="2"/>
      <c r="J200" s="2"/>
      <c r="K200" s="2"/>
      <c r="L200" s="2"/>
      <c r="M200" s="2"/>
      <c r="N200" s="2"/>
      <c r="O200" s="2"/>
      <c r="P200" s="2"/>
      <c r="Q200" s="2"/>
      <c r="R200" s="2"/>
      <c r="S200" s="2"/>
      <c r="T200" s="3"/>
    </row>
    <row r="201" spans="2:20" ht="14.1" customHeight="1">
      <c r="B201" s="2"/>
      <c r="C201" s="2"/>
      <c r="D201" s="2"/>
      <c r="E201" s="2"/>
      <c r="F201" s="2"/>
      <c r="G201" s="2"/>
      <c r="H201" s="2"/>
      <c r="I201" s="2"/>
      <c r="J201" s="2"/>
      <c r="K201" s="2"/>
      <c r="L201" s="2"/>
      <c r="M201" s="2"/>
      <c r="N201" s="2"/>
      <c r="O201" s="2"/>
      <c r="P201" s="2"/>
      <c r="Q201" s="2"/>
      <c r="R201" s="2"/>
      <c r="S201" s="2"/>
      <c r="T201" s="3"/>
    </row>
    <row r="202" spans="2:20" ht="14.1" customHeight="1">
      <c r="B202" s="2"/>
      <c r="C202" s="2"/>
      <c r="D202" s="2"/>
      <c r="E202" s="2"/>
      <c r="F202" s="2"/>
      <c r="G202" s="2"/>
      <c r="H202" s="2"/>
      <c r="I202" s="2"/>
      <c r="J202" s="2"/>
      <c r="K202" s="2"/>
      <c r="L202" s="2"/>
      <c r="M202" s="2"/>
      <c r="N202" s="2"/>
      <c r="O202" s="2"/>
      <c r="P202" s="2"/>
      <c r="Q202" s="2"/>
      <c r="R202" s="2"/>
      <c r="S202" s="2"/>
      <c r="T202" s="3"/>
    </row>
    <row r="203" spans="2:20" ht="14.1" customHeight="1">
      <c r="B203" s="2"/>
      <c r="C203" s="2"/>
      <c r="D203" s="2"/>
      <c r="E203" s="2"/>
      <c r="F203" s="2"/>
      <c r="G203" s="2"/>
      <c r="H203" s="2"/>
      <c r="I203" s="2"/>
      <c r="J203" s="2"/>
      <c r="K203" s="2"/>
      <c r="L203" s="2"/>
      <c r="M203" s="2"/>
      <c r="N203" s="2"/>
      <c r="O203" s="2"/>
      <c r="P203" s="2"/>
      <c r="Q203" s="2"/>
      <c r="R203" s="2"/>
      <c r="S203" s="2"/>
      <c r="T203" s="3"/>
    </row>
    <row r="204" spans="2:20" ht="14.1" customHeight="1">
      <c r="B204" s="2"/>
      <c r="C204" s="2"/>
      <c r="D204" s="2"/>
      <c r="E204" s="2"/>
      <c r="F204" s="2"/>
      <c r="G204" s="2"/>
      <c r="H204" s="2"/>
      <c r="I204" s="2"/>
      <c r="J204" s="2"/>
      <c r="K204" s="2"/>
      <c r="L204" s="2"/>
      <c r="M204" s="2"/>
      <c r="N204" s="2"/>
      <c r="O204" s="2"/>
      <c r="P204" s="2"/>
      <c r="Q204" s="2"/>
      <c r="R204" s="2"/>
      <c r="S204" s="2"/>
      <c r="T204" s="3"/>
    </row>
    <row r="205" spans="2:20" ht="14.1" customHeight="1">
      <c r="B205" s="2"/>
      <c r="C205" s="2"/>
      <c r="D205" s="2"/>
      <c r="E205" s="2"/>
      <c r="F205" s="2"/>
      <c r="G205" s="2"/>
      <c r="H205" s="2"/>
      <c r="I205" s="2"/>
      <c r="J205" s="2"/>
      <c r="K205" s="2"/>
      <c r="L205" s="2"/>
      <c r="M205" s="2"/>
      <c r="N205" s="2"/>
      <c r="O205" s="2"/>
      <c r="P205" s="2"/>
      <c r="Q205" s="2"/>
      <c r="R205" s="2"/>
      <c r="S205" s="2"/>
      <c r="T205" s="3"/>
    </row>
    <row r="206" spans="2:20" ht="14.1" customHeight="1">
      <c r="B206" s="2"/>
      <c r="C206" s="2"/>
      <c r="D206" s="2"/>
      <c r="E206" s="2"/>
      <c r="F206" s="2"/>
      <c r="G206" s="2"/>
      <c r="H206" s="2"/>
      <c r="I206" s="2"/>
      <c r="J206" s="2"/>
      <c r="K206" s="2"/>
      <c r="L206" s="2"/>
      <c r="M206" s="2"/>
      <c r="N206" s="2"/>
      <c r="O206" s="2"/>
      <c r="P206" s="2"/>
      <c r="Q206" s="2"/>
      <c r="R206" s="2"/>
      <c r="S206" s="2"/>
      <c r="T206" s="3"/>
    </row>
    <row r="207" spans="2:20" ht="14.1" customHeight="1">
      <c r="B207" s="2"/>
      <c r="C207" s="2"/>
      <c r="D207" s="2"/>
      <c r="E207" s="2"/>
      <c r="F207" s="2"/>
      <c r="G207" s="2"/>
      <c r="H207" s="2"/>
      <c r="I207" s="2"/>
      <c r="J207" s="2"/>
      <c r="K207" s="2"/>
      <c r="L207" s="2"/>
      <c r="M207" s="2"/>
      <c r="N207" s="2"/>
      <c r="O207" s="2"/>
      <c r="P207" s="2"/>
      <c r="Q207" s="2"/>
      <c r="R207" s="2"/>
      <c r="S207" s="2"/>
      <c r="T207" s="3"/>
    </row>
    <row r="208" spans="2:20" ht="14.1" customHeight="1">
      <c r="B208" s="2"/>
      <c r="C208" s="2"/>
      <c r="D208" s="2"/>
      <c r="E208" s="2"/>
      <c r="F208" s="2"/>
      <c r="G208" s="2"/>
      <c r="H208" s="2"/>
      <c r="I208" s="2"/>
      <c r="J208" s="2"/>
      <c r="K208" s="2"/>
      <c r="L208" s="2"/>
      <c r="M208" s="2"/>
      <c r="N208" s="2"/>
      <c r="O208" s="2"/>
      <c r="P208" s="2"/>
      <c r="Q208" s="2"/>
      <c r="R208" s="2"/>
      <c r="S208" s="2"/>
      <c r="T208" s="3"/>
    </row>
    <row r="209" spans="2:20" ht="14.1" customHeight="1">
      <c r="B209" s="2"/>
      <c r="C209" s="2"/>
      <c r="D209" s="2"/>
      <c r="E209" s="2"/>
      <c r="F209" s="2"/>
      <c r="G209" s="2"/>
      <c r="H209" s="2"/>
      <c r="I209" s="2"/>
      <c r="J209" s="2"/>
      <c r="K209" s="2"/>
      <c r="L209" s="2"/>
      <c r="M209" s="2"/>
      <c r="N209" s="2"/>
      <c r="O209" s="2"/>
      <c r="P209" s="2"/>
      <c r="Q209" s="2"/>
      <c r="R209" s="2"/>
      <c r="S209" s="2"/>
      <c r="T209" s="3"/>
    </row>
    <row r="210" spans="2:20" ht="14.1" customHeight="1">
      <c r="B210" s="2"/>
      <c r="C210" s="2"/>
      <c r="D210" s="2"/>
      <c r="E210" s="2"/>
      <c r="F210" s="2"/>
      <c r="G210" s="2"/>
      <c r="H210" s="2"/>
      <c r="I210" s="2"/>
      <c r="J210" s="2"/>
      <c r="K210" s="2"/>
      <c r="L210" s="2"/>
      <c r="M210" s="2"/>
      <c r="N210" s="2"/>
      <c r="O210" s="2"/>
      <c r="P210" s="2"/>
      <c r="Q210" s="2"/>
      <c r="R210" s="2"/>
      <c r="S210" s="2"/>
      <c r="T210" s="3"/>
    </row>
    <row r="211" spans="2:20" ht="14.1" customHeight="1">
      <c r="B211" s="2"/>
      <c r="C211" s="2"/>
      <c r="D211" s="2"/>
      <c r="E211" s="2"/>
      <c r="F211" s="2"/>
      <c r="G211" s="2"/>
      <c r="H211" s="2"/>
      <c r="I211" s="2"/>
      <c r="J211" s="2"/>
      <c r="K211" s="2"/>
      <c r="L211" s="2"/>
      <c r="M211" s="2"/>
      <c r="N211" s="2"/>
      <c r="O211" s="2"/>
      <c r="P211" s="2"/>
      <c r="Q211" s="2"/>
      <c r="R211" s="2"/>
      <c r="S211" s="2"/>
      <c r="T211" s="3"/>
    </row>
    <row r="212" spans="2:20" ht="14.1" customHeight="1">
      <c r="B212" s="2"/>
      <c r="C212" s="2"/>
      <c r="D212" s="2"/>
      <c r="E212" s="2"/>
      <c r="F212" s="2"/>
      <c r="G212" s="2"/>
      <c r="H212" s="2"/>
      <c r="I212" s="2"/>
      <c r="J212" s="2"/>
      <c r="K212" s="2"/>
      <c r="L212" s="2"/>
      <c r="M212" s="2"/>
      <c r="N212" s="2"/>
      <c r="O212" s="2"/>
      <c r="P212" s="2"/>
      <c r="Q212" s="2"/>
      <c r="R212" s="2"/>
      <c r="S212" s="2"/>
      <c r="T212" s="3"/>
    </row>
    <row r="213" spans="2:20" ht="14.1" customHeight="1">
      <c r="B213" s="2"/>
      <c r="C213" s="2"/>
      <c r="D213" s="2"/>
      <c r="E213" s="2"/>
      <c r="F213" s="2"/>
      <c r="G213" s="2"/>
      <c r="H213" s="2"/>
      <c r="I213" s="2"/>
      <c r="J213" s="2"/>
      <c r="K213" s="2"/>
      <c r="L213" s="2"/>
      <c r="M213" s="2"/>
      <c r="N213" s="2"/>
      <c r="O213" s="2"/>
      <c r="P213" s="2"/>
      <c r="Q213" s="2"/>
      <c r="R213" s="2"/>
      <c r="S213" s="2"/>
      <c r="T213" s="3"/>
    </row>
    <row r="214" spans="2:20" ht="14.1" customHeight="1">
      <c r="B214" s="2"/>
      <c r="C214" s="2"/>
      <c r="D214" s="2"/>
      <c r="E214" s="2"/>
      <c r="F214" s="2"/>
      <c r="G214" s="2"/>
      <c r="H214" s="2"/>
      <c r="I214" s="2"/>
      <c r="J214" s="2"/>
      <c r="K214" s="2"/>
      <c r="L214" s="2"/>
      <c r="M214" s="2"/>
      <c r="N214" s="2"/>
      <c r="O214" s="2"/>
      <c r="P214" s="2"/>
      <c r="Q214" s="2"/>
      <c r="R214" s="2"/>
      <c r="S214" s="2"/>
      <c r="T214" s="3"/>
    </row>
    <row r="215" spans="2:20" ht="14.1" customHeight="1">
      <c r="B215" s="2"/>
      <c r="C215" s="2"/>
      <c r="D215" s="2"/>
      <c r="E215" s="2"/>
      <c r="F215" s="2"/>
      <c r="G215" s="2"/>
      <c r="H215" s="2"/>
      <c r="I215" s="2"/>
      <c r="J215" s="2"/>
      <c r="K215" s="2"/>
      <c r="L215" s="2"/>
      <c r="M215" s="2"/>
      <c r="N215" s="2"/>
      <c r="O215" s="2"/>
      <c r="P215" s="2"/>
      <c r="Q215" s="2"/>
      <c r="R215" s="2"/>
      <c r="S215" s="2"/>
      <c r="T215" s="3"/>
    </row>
    <row r="216" spans="2:20" ht="14.1" customHeight="1">
      <c r="B216" s="2"/>
      <c r="C216" s="2"/>
      <c r="D216" s="2"/>
      <c r="E216" s="2"/>
      <c r="F216" s="2"/>
      <c r="G216" s="2"/>
      <c r="H216" s="2"/>
      <c r="I216" s="2"/>
      <c r="J216" s="2"/>
      <c r="K216" s="2"/>
      <c r="L216" s="2"/>
      <c r="M216" s="2"/>
      <c r="N216" s="2"/>
      <c r="O216" s="2"/>
      <c r="P216" s="2"/>
      <c r="Q216" s="2"/>
      <c r="R216" s="2"/>
      <c r="S216" s="2"/>
      <c r="T216" s="3"/>
    </row>
    <row r="217" spans="2:20" ht="14.1" customHeight="1">
      <c r="B217" s="2"/>
      <c r="C217" s="2"/>
      <c r="D217" s="2"/>
      <c r="E217" s="2"/>
      <c r="F217" s="2"/>
      <c r="G217" s="2"/>
      <c r="H217" s="2"/>
      <c r="I217" s="2"/>
      <c r="J217" s="2"/>
      <c r="K217" s="2"/>
      <c r="L217" s="2"/>
      <c r="M217" s="2"/>
      <c r="N217" s="2"/>
      <c r="O217" s="2"/>
      <c r="P217" s="2"/>
      <c r="Q217" s="2"/>
      <c r="R217" s="2"/>
      <c r="S217" s="2"/>
      <c r="T217" s="3"/>
    </row>
    <row r="218" spans="2:20" ht="14.1" customHeight="1">
      <c r="B218" s="2"/>
      <c r="C218" s="2"/>
      <c r="D218" s="2"/>
      <c r="E218" s="2"/>
      <c r="F218" s="2"/>
      <c r="G218" s="2"/>
      <c r="H218" s="2"/>
      <c r="I218" s="2"/>
      <c r="J218" s="2"/>
      <c r="K218" s="2"/>
      <c r="L218" s="2"/>
      <c r="M218" s="2"/>
      <c r="N218" s="2"/>
      <c r="O218" s="2"/>
      <c r="P218" s="2"/>
      <c r="Q218" s="2"/>
      <c r="R218" s="2"/>
      <c r="S218" s="2"/>
      <c r="T218" s="3"/>
    </row>
    <row r="219" spans="2:20" ht="14.1" customHeight="1">
      <c r="B219" s="2"/>
      <c r="C219" s="2"/>
      <c r="D219" s="2"/>
      <c r="E219" s="2"/>
      <c r="F219" s="2"/>
      <c r="G219" s="2"/>
      <c r="H219" s="2"/>
      <c r="I219" s="2"/>
      <c r="J219" s="2"/>
      <c r="K219" s="2"/>
      <c r="L219" s="2"/>
      <c r="M219" s="2"/>
      <c r="N219" s="2"/>
      <c r="O219" s="2"/>
      <c r="P219" s="2"/>
      <c r="Q219" s="2"/>
      <c r="R219" s="2"/>
      <c r="S219" s="2"/>
      <c r="T219" s="3"/>
    </row>
    <row r="220" spans="2:20" ht="14.1" customHeight="1">
      <c r="B220" s="2"/>
      <c r="C220" s="2"/>
      <c r="D220" s="2"/>
      <c r="E220" s="2"/>
      <c r="F220" s="2"/>
      <c r="G220" s="2"/>
      <c r="H220" s="2"/>
      <c r="I220" s="2"/>
      <c r="J220" s="2"/>
      <c r="K220" s="2"/>
      <c r="L220" s="2"/>
      <c r="M220" s="2"/>
      <c r="N220" s="2"/>
      <c r="O220" s="2"/>
      <c r="P220" s="2"/>
      <c r="Q220" s="2"/>
      <c r="R220" s="2"/>
      <c r="S220" s="2"/>
      <c r="T220" s="3"/>
    </row>
    <row r="221" spans="2:20" ht="14.1" customHeight="1">
      <c r="B221" s="2"/>
      <c r="C221" s="2"/>
      <c r="D221" s="2"/>
      <c r="E221" s="2"/>
      <c r="F221" s="2"/>
      <c r="G221" s="2"/>
      <c r="H221" s="2"/>
      <c r="I221" s="2"/>
      <c r="J221" s="2"/>
      <c r="K221" s="2"/>
      <c r="L221" s="2"/>
      <c r="M221" s="2"/>
      <c r="N221" s="2"/>
      <c r="O221" s="2"/>
      <c r="P221" s="2"/>
      <c r="Q221" s="2"/>
      <c r="R221" s="2"/>
      <c r="S221" s="2"/>
      <c r="T221" s="3"/>
    </row>
    <row r="222" spans="2:20" ht="14.1" customHeight="1">
      <c r="B222" s="2"/>
      <c r="C222" s="2"/>
      <c r="D222" s="2"/>
      <c r="E222" s="2"/>
      <c r="F222" s="2"/>
      <c r="G222" s="2"/>
      <c r="H222" s="2"/>
      <c r="I222" s="2"/>
      <c r="J222" s="2"/>
      <c r="K222" s="2"/>
      <c r="L222" s="2"/>
      <c r="M222" s="2"/>
      <c r="N222" s="2"/>
      <c r="O222" s="2"/>
      <c r="P222" s="2"/>
      <c r="Q222" s="2"/>
      <c r="R222" s="2"/>
      <c r="S222" s="2"/>
      <c r="T222" s="3"/>
    </row>
    <row r="223" spans="2:20" ht="14.1" customHeight="1">
      <c r="B223" s="2"/>
      <c r="C223" s="2"/>
      <c r="D223" s="2"/>
      <c r="E223" s="2"/>
      <c r="F223" s="2"/>
      <c r="G223" s="2"/>
      <c r="H223" s="2"/>
      <c r="I223" s="2"/>
      <c r="J223" s="2"/>
      <c r="K223" s="2"/>
      <c r="L223" s="2"/>
      <c r="M223" s="2"/>
      <c r="N223" s="2"/>
      <c r="O223" s="2"/>
      <c r="P223" s="2"/>
      <c r="Q223" s="2"/>
      <c r="R223" s="2"/>
      <c r="S223" s="2"/>
      <c r="T223" s="3"/>
    </row>
    <row r="224" spans="2:20" ht="14.1" customHeight="1">
      <c r="B224" s="2"/>
      <c r="C224" s="2"/>
      <c r="D224" s="2"/>
      <c r="E224" s="2"/>
      <c r="F224" s="2"/>
      <c r="G224" s="2"/>
      <c r="H224" s="2"/>
      <c r="I224" s="2"/>
      <c r="J224" s="2"/>
      <c r="K224" s="2"/>
      <c r="L224" s="2"/>
      <c r="M224" s="2"/>
      <c r="N224" s="2"/>
      <c r="O224" s="2"/>
      <c r="P224" s="2"/>
      <c r="Q224" s="2"/>
      <c r="R224" s="2"/>
      <c r="S224" s="2"/>
      <c r="T224" s="3"/>
    </row>
    <row r="225" spans="2:20" ht="14.1" customHeight="1">
      <c r="B225" s="2"/>
      <c r="C225" s="2"/>
      <c r="D225" s="2"/>
      <c r="E225" s="2"/>
      <c r="F225" s="2"/>
      <c r="G225" s="2"/>
      <c r="H225" s="2"/>
      <c r="I225" s="2"/>
      <c r="J225" s="2"/>
      <c r="K225" s="2"/>
      <c r="L225" s="2"/>
      <c r="M225" s="2"/>
      <c r="N225" s="2"/>
      <c r="O225" s="2"/>
      <c r="P225" s="2"/>
      <c r="Q225" s="2"/>
      <c r="R225" s="2"/>
      <c r="S225" s="2"/>
      <c r="T225" s="3"/>
    </row>
    <row r="226" spans="2:20" ht="14.1" customHeight="1">
      <c r="B226" s="2"/>
      <c r="C226" s="2"/>
      <c r="D226" s="2"/>
      <c r="E226" s="2"/>
      <c r="F226" s="2"/>
      <c r="G226" s="2"/>
      <c r="H226" s="2"/>
      <c r="I226" s="2"/>
      <c r="J226" s="2"/>
      <c r="K226" s="2"/>
      <c r="L226" s="2"/>
      <c r="M226" s="2"/>
      <c r="N226" s="2"/>
      <c r="O226" s="2"/>
      <c r="P226" s="2"/>
      <c r="Q226" s="2"/>
      <c r="R226" s="2"/>
      <c r="S226" s="2"/>
      <c r="T226" s="3"/>
    </row>
    <row r="227" spans="2:20" ht="14.1" customHeight="1">
      <c r="B227" s="2"/>
      <c r="C227" s="2"/>
      <c r="D227" s="2"/>
      <c r="E227" s="2"/>
      <c r="F227" s="2"/>
      <c r="G227" s="2"/>
      <c r="H227" s="2"/>
      <c r="I227" s="2"/>
      <c r="J227" s="2"/>
      <c r="K227" s="2"/>
      <c r="L227" s="2"/>
      <c r="M227" s="2"/>
      <c r="N227" s="2"/>
      <c r="O227" s="2"/>
      <c r="P227" s="2"/>
      <c r="Q227" s="2"/>
      <c r="R227" s="2"/>
      <c r="S227" s="2"/>
      <c r="T227" s="3"/>
    </row>
    <row r="228" spans="2:20" ht="14.1" customHeight="1">
      <c r="B228" s="2"/>
      <c r="C228" s="2"/>
      <c r="D228" s="2"/>
      <c r="E228" s="2"/>
      <c r="F228" s="2"/>
      <c r="G228" s="2"/>
      <c r="H228" s="2"/>
      <c r="I228" s="2"/>
      <c r="J228" s="2"/>
      <c r="K228" s="2"/>
      <c r="L228" s="2"/>
      <c r="M228" s="2"/>
      <c r="N228" s="2"/>
      <c r="O228" s="2"/>
      <c r="P228" s="2"/>
      <c r="Q228" s="2"/>
      <c r="R228" s="2"/>
      <c r="S228" s="2"/>
      <c r="T228" s="3"/>
    </row>
    <row r="229" spans="2:20" ht="14.1" customHeight="1">
      <c r="B229" s="2"/>
      <c r="C229" s="2"/>
      <c r="D229" s="2"/>
      <c r="E229" s="2"/>
      <c r="F229" s="2"/>
      <c r="G229" s="2"/>
      <c r="H229" s="2"/>
      <c r="I229" s="2"/>
      <c r="J229" s="2"/>
      <c r="K229" s="2"/>
      <c r="L229" s="2"/>
      <c r="M229" s="2"/>
      <c r="N229" s="2"/>
      <c r="O229" s="2"/>
      <c r="P229" s="2"/>
      <c r="Q229" s="2"/>
      <c r="R229" s="2"/>
      <c r="S229" s="2"/>
      <c r="T229" s="3"/>
    </row>
    <row r="230" spans="2:20" ht="14.1" customHeight="1">
      <c r="B230" s="2"/>
      <c r="C230" s="2"/>
      <c r="D230" s="2"/>
      <c r="E230" s="2"/>
      <c r="F230" s="2"/>
      <c r="G230" s="2"/>
      <c r="H230" s="2"/>
      <c r="I230" s="2"/>
      <c r="J230" s="2"/>
      <c r="K230" s="2"/>
      <c r="L230" s="2"/>
      <c r="M230" s="2"/>
      <c r="N230" s="2"/>
      <c r="O230" s="2"/>
      <c r="P230" s="2"/>
      <c r="Q230" s="2"/>
      <c r="R230" s="2"/>
      <c r="S230" s="2"/>
      <c r="T230" s="3"/>
    </row>
    <row r="231" spans="2:20" ht="14.1" customHeight="1">
      <c r="B231" s="2"/>
      <c r="C231" s="2"/>
      <c r="D231" s="2"/>
      <c r="E231" s="2"/>
      <c r="F231" s="2"/>
      <c r="G231" s="2"/>
      <c r="H231" s="2"/>
      <c r="I231" s="2"/>
      <c r="J231" s="2"/>
      <c r="K231" s="2"/>
      <c r="L231" s="2"/>
      <c r="M231" s="2"/>
      <c r="N231" s="2"/>
      <c r="O231" s="2"/>
      <c r="P231" s="2"/>
      <c r="Q231" s="2"/>
      <c r="R231" s="2"/>
      <c r="S231" s="2"/>
      <c r="T231" s="3"/>
    </row>
    <row r="232" spans="2:20" ht="14.1" customHeight="1">
      <c r="B232" s="2"/>
      <c r="C232" s="2"/>
      <c r="D232" s="2"/>
      <c r="E232" s="2"/>
      <c r="F232" s="2"/>
      <c r="G232" s="2"/>
      <c r="H232" s="2"/>
      <c r="I232" s="2"/>
      <c r="J232" s="2"/>
      <c r="K232" s="2"/>
      <c r="L232" s="2"/>
      <c r="M232" s="2"/>
      <c r="N232" s="2"/>
      <c r="O232" s="2"/>
      <c r="P232" s="2"/>
      <c r="Q232" s="2"/>
      <c r="R232" s="2"/>
      <c r="S232" s="2"/>
      <c r="T232" s="21"/>
    </row>
    <row r="233" spans="2:20" ht="14.1" customHeight="1">
      <c r="B233" s="3"/>
      <c r="C233" s="3"/>
      <c r="D233" s="3"/>
      <c r="E233" s="3"/>
      <c r="F233" s="3"/>
      <c r="G233" s="3"/>
      <c r="H233" s="3"/>
      <c r="I233" s="3"/>
      <c r="J233" s="3"/>
      <c r="K233" s="3"/>
      <c r="L233" s="3"/>
      <c r="M233" s="3"/>
      <c r="N233" s="3"/>
      <c r="O233" s="3"/>
      <c r="P233" s="3"/>
      <c r="Q233" s="3"/>
      <c r="R233" s="3"/>
      <c r="S233" s="2"/>
    </row>
    <row r="234" spans="2:20" ht="14.1" customHeight="1">
      <c r="S234" s="3"/>
    </row>
  </sheetData>
  <sheetProtection sheet="1" objects="1" scenarios="1" selectLockedCells="1"/>
  <mergeCells count="58">
    <mergeCell ref="C148:J148"/>
    <mergeCell ref="C149:J149"/>
    <mergeCell ref="C150:J150"/>
    <mergeCell ref="C151:J151"/>
    <mergeCell ref="H99:O99"/>
    <mergeCell ref="C144:J144"/>
    <mergeCell ref="C153:I154"/>
    <mergeCell ref="B6:H6"/>
    <mergeCell ref="D85:L85"/>
    <mergeCell ref="M86:O86"/>
    <mergeCell ref="I86:J86"/>
    <mergeCell ref="K86:L86"/>
    <mergeCell ref="D86:F86"/>
    <mergeCell ref="G86:H86"/>
    <mergeCell ref="C20:H20"/>
    <mergeCell ref="C28:H29"/>
    <mergeCell ref="C31:H31"/>
    <mergeCell ref="B17:G17"/>
    <mergeCell ref="B25:G25"/>
    <mergeCell ref="C26:H26"/>
    <mergeCell ref="B30:G30"/>
    <mergeCell ref="B35:G35"/>
    <mergeCell ref="C168:Q168"/>
    <mergeCell ref="C123:J123"/>
    <mergeCell ref="C140:J141"/>
    <mergeCell ref="C101:D101"/>
    <mergeCell ref="C113:J113"/>
    <mergeCell ref="B112:I112"/>
    <mergeCell ref="G101:O101"/>
    <mergeCell ref="H159:I159"/>
    <mergeCell ref="H160:I160"/>
    <mergeCell ref="H158:I158"/>
    <mergeCell ref="C162:G162"/>
    <mergeCell ref="C163:G164"/>
    <mergeCell ref="C145:J145"/>
    <mergeCell ref="C146:J146"/>
    <mergeCell ref="C147:J147"/>
    <mergeCell ref="C152:J152"/>
    <mergeCell ref="P95:Q95"/>
    <mergeCell ref="C36:H36"/>
    <mergeCell ref="C51:G51"/>
    <mergeCell ref="C53:H54"/>
    <mergeCell ref="C66:G66"/>
    <mergeCell ref="C68:H69"/>
    <mergeCell ref="C38:H39"/>
    <mergeCell ref="B40:G40"/>
    <mergeCell ref="C42:H42"/>
    <mergeCell ref="B65:G65"/>
    <mergeCell ref="C45:H46"/>
    <mergeCell ref="C21:H23"/>
    <mergeCell ref="C75:F75"/>
    <mergeCell ref="C58:G58"/>
    <mergeCell ref="C60:G60"/>
    <mergeCell ref="C59:G59"/>
    <mergeCell ref="C61:G61"/>
    <mergeCell ref="C62:G62"/>
    <mergeCell ref="C63:G63"/>
    <mergeCell ref="C71:H71"/>
  </mergeCells>
  <phoneticPr fontId="0" type="noConversion"/>
  <pageMargins left="0.78740157480314965" right="0.78740157480314965" top="0.59055118110236227" bottom="0.59055118110236227" header="0.51181102362204722" footer="0.31496062992125984"/>
  <pageSetup paperSize="9" scale="42" fitToHeight="2" orientation="portrait" r:id="rId1"/>
  <headerFooter alignWithMargins="0">
    <oddFooter>&amp;L©AGRIDEA&amp;R04.2022</oddFooter>
  </headerFooter>
  <rowBreaks count="1" manualBreakCount="1">
    <brk id="82"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5181" r:id="rId4" name="cboSprache">
              <controlPr defaultSize="0" print="0" autoFill="0" autoLine="0" autoPict="0">
                <anchor moveWithCells="1">
                  <from>
                    <xdr:col>4</xdr:col>
                    <xdr:colOff>333375</xdr:colOff>
                    <xdr:row>100</xdr:row>
                    <xdr:rowOff>114300</xdr:rowOff>
                  </from>
                  <to>
                    <xdr:col>5</xdr:col>
                    <xdr:colOff>190500</xdr:colOff>
                    <xdr:row>100</xdr:row>
                    <xdr:rowOff>314325</xdr:rowOff>
                  </to>
                </anchor>
              </controlPr>
            </control>
          </mc:Choice>
        </mc:AlternateContent>
        <mc:AlternateContent xmlns:mc="http://schemas.openxmlformats.org/markup-compatibility/2006">
          <mc:Choice Requires="x14">
            <control shapeId="5186" r:id="rId5" name="Drop Down 66">
              <controlPr defaultSize="0" autoLine="0" autoPict="0">
                <anchor moveWithCells="1">
                  <from>
                    <xdr:col>6</xdr:col>
                    <xdr:colOff>523875</xdr:colOff>
                    <xdr:row>74</xdr:row>
                    <xdr:rowOff>161925</xdr:rowOff>
                  </from>
                  <to>
                    <xdr:col>7</xdr:col>
                    <xdr:colOff>333375</xdr:colOff>
                    <xdr:row>74</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V117"/>
  <sheetViews>
    <sheetView showGridLines="0" showRowColHeaders="0" showZeros="0" zoomScaleNormal="100" workbookViewId="0">
      <selection activeCell="K9" sqref="K9"/>
    </sheetView>
  </sheetViews>
  <sheetFormatPr baseColWidth="10" defaultColWidth="11.42578125" defaultRowHeight="14.1" customHeight="1"/>
  <cols>
    <col min="1" max="1" width="0.85546875" style="184" customWidth="1"/>
    <col min="2" max="2" width="1.5703125" style="184" customWidth="1"/>
    <col min="3" max="3" width="10.5703125" style="184" customWidth="1"/>
    <col min="4" max="4" width="7.5703125" style="184" customWidth="1"/>
    <col min="5" max="5" width="11" style="184" customWidth="1"/>
    <col min="6" max="6" width="7.42578125" style="184" customWidth="1"/>
    <col min="7" max="7" width="11.5703125" style="184" customWidth="1"/>
    <col min="8" max="8" width="7.5703125" style="184" customWidth="1"/>
    <col min="9" max="9" width="11.5703125" style="184" customWidth="1"/>
    <col min="10" max="10" width="4.5703125" style="184" customWidth="1"/>
    <col min="11" max="11" width="10.5703125" style="184" customWidth="1"/>
    <col min="12" max="12" width="3.42578125" style="184" customWidth="1"/>
    <col min="13" max="13" width="10.42578125" style="184" customWidth="1"/>
    <col min="14" max="14" width="3.5703125" style="184" customWidth="1"/>
    <col min="15" max="15" width="11.5703125" style="184" customWidth="1"/>
    <col min="16" max="16" width="2.42578125" style="184" customWidth="1"/>
    <col min="17" max="17" width="14.42578125" style="184" customWidth="1"/>
    <col min="18" max="16384" width="11.42578125" style="184"/>
  </cols>
  <sheetData>
    <row r="1" spans="2:22" ht="42" customHeight="1">
      <c r="F1" s="183" t="str">
        <f>Texte!A73</f>
        <v>Calcul des paiements directs à partir de 2023</v>
      </c>
      <c r="P1" s="182"/>
      <c r="Q1" s="1" t="str">
        <f>Texte!A212</f>
        <v>Paiements directs 6</v>
      </c>
      <c r="R1" s="2"/>
      <c r="S1" s="2"/>
      <c r="T1" s="3"/>
    </row>
    <row r="2" spans="2:22" s="21" customFormat="1" ht="11.1" customHeight="1" thickBot="1">
      <c r="B2" s="185"/>
      <c r="C2" s="185"/>
      <c r="D2" s="185"/>
      <c r="E2" s="185"/>
      <c r="F2" s="185"/>
      <c r="G2" s="185"/>
      <c r="H2" s="185"/>
      <c r="I2" s="185"/>
      <c r="J2" s="185"/>
      <c r="K2" s="185"/>
      <c r="L2" s="185"/>
      <c r="M2" s="185"/>
      <c r="N2" s="185"/>
      <c r="O2" s="185"/>
      <c r="P2" s="185"/>
      <c r="Q2" s="4"/>
      <c r="R2" s="2"/>
      <c r="S2" s="2"/>
      <c r="T2" s="3"/>
    </row>
    <row r="3" spans="2:22" s="181" customFormat="1" ht="21.95" customHeight="1">
      <c r="B3" s="176" t="str">
        <f>Texte!A178</f>
        <v>Exploitation:</v>
      </c>
      <c r="C3" s="177"/>
      <c r="D3" s="169">
        <f>'Paysage cultivé'!D3</f>
        <v>0</v>
      </c>
      <c r="E3" s="170"/>
      <c r="F3" s="170"/>
      <c r="G3" s="178"/>
      <c r="H3" s="179"/>
      <c r="I3" s="179"/>
      <c r="K3" s="180"/>
      <c r="L3" s="173" t="str">
        <f>Texte!A294</f>
        <v>Variante:</v>
      </c>
      <c r="M3" s="171">
        <f>'Paysage cultivé'!K3</f>
        <v>0</v>
      </c>
      <c r="N3" s="172"/>
      <c r="O3" s="180"/>
      <c r="P3" s="173" t="str">
        <f>Texte!A53</f>
        <v>Année:</v>
      </c>
      <c r="Q3" s="174">
        <f>'Paysage cultivé'!O3</f>
        <v>0</v>
      </c>
      <c r="R3" s="180"/>
      <c r="S3" s="180"/>
      <c r="T3" s="177"/>
    </row>
    <row r="4" spans="2:22" ht="12.75" customHeight="1">
      <c r="B4" s="2"/>
      <c r="C4" s="2"/>
      <c r="D4" s="2"/>
      <c r="E4" s="2"/>
      <c r="F4" s="2"/>
      <c r="G4" s="2"/>
      <c r="H4" s="2"/>
      <c r="I4" s="2"/>
      <c r="J4" s="2"/>
      <c r="K4" s="2"/>
      <c r="L4" s="2"/>
      <c r="M4" s="2"/>
      <c r="N4" s="2"/>
      <c r="O4" s="2"/>
      <c r="P4" s="2"/>
      <c r="Q4" s="2"/>
      <c r="R4" s="2"/>
      <c r="S4" s="2"/>
      <c r="T4" s="3"/>
    </row>
    <row r="5" spans="2:22" ht="17.100000000000001" customHeight="1">
      <c r="B5" s="53" t="str">
        <f>Texte!A110</f>
        <v>Contributions à l'efficience des ressources (nationales: CER, Art. 82 et Annexe 7 OPD)</v>
      </c>
      <c r="C5" s="2"/>
      <c r="D5" s="2"/>
      <c r="E5" s="2"/>
      <c r="F5" s="2"/>
      <c r="G5" s="2"/>
      <c r="H5" s="2"/>
      <c r="I5" s="2"/>
      <c r="J5" s="2"/>
      <c r="K5" s="2"/>
      <c r="L5" s="2"/>
      <c r="M5" s="2"/>
      <c r="N5" s="2"/>
      <c r="O5" s="2"/>
      <c r="P5" s="2"/>
      <c r="Q5" s="2"/>
      <c r="R5" s="7"/>
      <c r="S5" s="7"/>
      <c r="T5" s="3"/>
    </row>
    <row r="6" spans="2:22" ht="17.100000000000001" customHeight="1">
      <c r="B6" s="713"/>
      <c r="C6" s="714"/>
      <c r="D6" s="714"/>
      <c r="E6" s="714"/>
      <c r="F6" s="714"/>
      <c r="G6" s="714"/>
      <c r="H6" s="714"/>
      <c r="I6" s="65"/>
      <c r="J6" s="711"/>
      <c r="K6" s="711"/>
      <c r="L6" s="711"/>
      <c r="M6" s="65"/>
      <c r="N6" s="198"/>
      <c r="O6" s="65"/>
      <c r="P6" s="61"/>
      <c r="Q6" s="199" t="str">
        <f>Texte!A282</f>
        <v>Total (Fr.)</v>
      </c>
      <c r="R6" s="7"/>
      <c r="S6" s="7"/>
      <c r="T6" s="3"/>
    </row>
    <row r="7" spans="2:22" s="186" customFormat="1" ht="16.5" customHeight="1">
      <c r="B7" s="9" t="str">
        <f>Texte!A400</f>
        <v>Techniques d'application de précision***</v>
      </c>
      <c r="C7" s="10"/>
      <c r="D7" s="10"/>
      <c r="E7" s="10"/>
      <c r="F7" s="10"/>
      <c r="H7" s="10" t="str">
        <f>Texte!A401</f>
        <v>Nouveau: contribution unique par machine</v>
      </c>
      <c r="I7" s="10"/>
      <c r="J7" s="17"/>
      <c r="K7" s="54"/>
      <c r="L7" s="17"/>
      <c r="M7" s="23"/>
      <c r="N7" s="23"/>
      <c r="O7" s="23"/>
      <c r="P7" s="17"/>
      <c r="Q7" s="117"/>
      <c r="R7" s="14"/>
      <c r="S7" s="2"/>
      <c r="T7" s="15"/>
      <c r="U7" s="15"/>
      <c r="V7" s="16"/>
    </row>
    <row r="8" spans="2:22" s="186" customFormat="1" ht="16.5" customHeight="1">
      <c r="B8" s="9"/>
      <c r="C8" s="10"/>
      <c r="D8" s="10"/>
      <c r="E8" s="10"/>
      <c r="F8" s="10"/>
      <c r="G8" s="10"/>
      <c r="H8" s="10"/>
      <c r="I8" s="10"/>
      <c r="J8" s="17"/>
      <c r="K8" s="71" t="s">
        <v>861</v>
      </c>
      <c r="L8" s="17"/>
      <c r="M8" s="23"/>
      <c r="N8" s="23"/>
      <c r="O8" s="23"/>
      <c r="P8" s="17"/>
      <c r="Q8" s="117"/>
      <c r="R8" s="14"/>
      <c r="S8" s="2"/>
      <c r="T8" s="15"/>
      <c r="U8" s="15"/>
      <c r="V8" s="16"/>
    </row>
    <row r="9" spans="2:22" s="297" customFormat="1" ht="28.5" customHeight="1">
      <c r="B9" s="320"/>
      <c r="C9" s="645" t="str">
        <f>Texte!A402</f>
        <v>1. Pulvérisation sous-foliaire: 75% des coûts d'acquisition par rampe, jusqu'à un maximum de Fr. 170.- par unité de pulvérisation</v>
      </c>
      <c r="D9" s="656"/>
      <c r="E9" s="656"/>
      <c r="F9" s="656"/>
      <c r="G9" s="656"/>
      <c r="H9" s="656"/>
      <c r="I9" s="656"/>
      <c r="J9" s="143"/>
      <c r="K9" s="606"/>
      <c r="L9" s="143"/>
      <c r="M9" s="233"/>
      <c r="N9" s="233"/>
      <c r="O9" s="233"/>
      <c r="P9" s="143"/>
      <c r="Q9" s="299"/>
      <c r="R9" s="619"/>
      <c r="S9" s="7"/>
      <c r="T9" s="15"/>
      <c r="U9" s="15"/>
      <c r="V9" s="296"/>
    </row>
    <row r="10" spans="2:22" s="297" customFormat="1" ht="48" customHeight="1">
      <c r="B10" s="320"/>
      <c r="C10" s="645" t="str">
        <f>Texte!A403</f>
        <v>2. Pulvérisateurs anti-dérive en cultures pérennes: 25% des coûts d'acquisition par pulvérisateur à jets projetés avec flux d’air horizontal orientable, jusqu'à un maximum de Fr. 6'000.-</v>
      </c>
      <c r="D10" s="645"/>
      <c r="E10" s="645"/>
      <c r="F10" s="645"/>
      <c r="G10" s="645"/>
      <c r="H10" s="645"/>
      <c r="I10" s="645"/>
      <c r="J10" s="143"/>
      <c r="K10" s="606"/>
      <c r="L10" s="143"/>
      <c r="M10" s="233"/>
      <c r="N10" s="233"/>
      <c r="O10" s="233"/>
      <c r="P10" s="143"/>
      <c r="Q10" s="299"/>
      <c r="R10" s="619"/>
      <c r="S10" s="7"/>
      <c r="T10" s="15"/>
      <c r="U10" s="15"/>
      <c r="V10" s="296"/>
    </row>
    <row r="11" spans="2:22" s="297" customFormat="1" ht="47.25" customHeight="1">
      <c r="B11" s="320"/>
      <c r="C11" s="645" t="str">
        <f>Texte!A404</f>
        <v>3. Pulvérisateur à jets projetés avec flux d’air horizontal orientable et détecteur de végétation, ou pulvérisateur sous tunnel: 25% des coûts d'acquisition, jusqu'à un maximum de Fr. 10'000.-</v>
      </c>
      <c r="D11" s="645"/>
      <c r="E11" s="645"/>
      <c r="F11" s="645"/>
      <c r="G11" s="645"/>
      <c r="H11" s="645"/>
      <c r="I11" s="645"/>
      <c r="J11" s="143"/>
      <c r="K11" s="606"/>
      <c r="L11" s="143"/>
      <c r="M11" s="233"/>
      <c r="N11" s="233"/>
      <c r="O11" s="233"/>
      <c r="P11" s="143"/>
      <c r="Q11" s="299"/>
      <c r="R11" s="619"/>
      <c r="S11" s="7"/>
      <c r="T11" s="15"/>
      <c r="U11" s="15"/>
      <c r="V11" s="296"/>
    </row>
    <row r="12" spans="2:22" ht="15.75" customHeight="1">
      <c r="B12" s="12"/>
      <c r="C12" s="712" t="str">
        <f>Texte!A405</f>
        <v>***Pulvérisation sous-foliaire (droplegs); pulvérisateurs anti-dérive utilisés en arboriculture fruitière et en viticulture.</v>
      </c>
      <c r="D12" s="712"/>
      <c r="E12" s="712"/>
      <c r="F12" s="712"/>
      <c r="G12" s="712"/>
      <c r="H12" s="712"/>
      <c r="I12" s="47"/>
      <c r="J12" s="11"/>
      <c r="K12" s="47"/>
      <c r="L12" s="17"/>
      <c r="M12" s="150" t="str">
        <f>Texte!A252</f>
        <v>Somme contributions</v>
      </c>
      <c r="N12" s="50"/>
      <c r="O12" s="50"/>
      <c r="P12" s="23"/>
      <c r="Q12" s="187"/>
      <c r="R12" s="35"/>
      <c r="S12" s="3"/>
    </row>
    <row r="13" spans="2:22" ht="18" customHeight="1">
      <c r="B13" s="243"/>
      <c r="C13" s="712"/>
      <c r="D13" s="712"/>
      <c r="E13" s="712"/>
      <c r="F13" s="712"/>
      <c r="G13" s="712"/>
      <c r="H13" s="712"/>
      <c r="I13" s="134"/>
      <c r="J13" s="113"/>
      <c r="K13" s="115"/>
      <c r="L13" s="17"/>
      <c r="M13" s="115"/>
      <c r="N13" s="115"/>
      <c r="O13" s="115"/>
      <c r="P13" s="23" t="s">
        <v>141</v>
      </c>
      <c r="Q13" s="52">
        <f>SUM(K9:K11)</f>
        <v>0</v>
      </c>
      <c r="R13" s="35"/>
      <c r="S13" s="3"/>
    </row>
    <row r="14" spans="2:22" ht="18" customHeight="1">
      <c r="B14" s="243"/>
      <c r="C14" s="521"/>
      <c r="D14" s="521"/>
      <c r="E14" s="521"/>
      <c r="F14" s="521"/>
      <c r="G14" s="521"/>
      <c r="H14" s="521"/>
      <c r="I14" s="134"/>
      <c r="J14" s="113"/>
      <c r="K14" s="115"/>
      <c r="L14" s="17"/>
      <c r="M14" s="115"/>
      <c r="N14" s="115"/>
      <c r="O14" s="115"/>
      <c r="P14" s="23"/>
      <c r="Q14" s="131"/>
      <c r="R14" s="35"/>
      <c r="S14" s="3"/>
    </row>
    <row r="15" spans="2:22" ht="18" customHeight="1">
      <c r="B15" s="243"/>
      <c r="C15" s="529"/>
      <c r="D15" s="529"/>
      <c r="E15" s="529"/>
      <c r="F15" s="529"/>
      <c r="G15" s="529"/>
      <c r="H15" s="529"/>
      <c r="I15" s="529" t="str">
        <f>Texte!A190</f>
        <v>Montant (Fr.)</v>
      </c>
      <c r="J15" s="529"/>
      <c r="K15" s="115"/>
      <c r="L15" s="17"/>
      <c r="M15" s="115" t="str">
        <f>Texte!A253</f>
        <v>Sous-total</v>
      </c>
      <c r="N15" s="115"/>
      <c r="O15" s="115"/>
      <c r="P15" s="23"/>
      <c r="Q15" s="117"/>
      <c r="R15" s="35"/>
      <c r="S15" s="3"/>
    </row>
    <row r="16" spans="2:22" ht="18" customHeight="1">
      <c r="B16" s="532" t="str">
        <f>Texte!A485</f>
        <v>Alimentation biphase des porcs appauvrie en matière azotée</v>
      </c>
      <c r="C16" s="529"/>
      <c r="D16" s="529"/>
      <c r="E16" s="529"/>
      <c r="F16" s="529"/>
      <c r="G16" s="529"/>
      <c r="H16" s="529"/>
      <c r="I16" s="529"/>
      <c r="J16" s="529"/>
      <c r="K16" s="115" t="str">
        <f>Texte!A285</f>
        <v>UGB</v>
      </c>
      <c r="L16" s="17"/>
      <c r="M16" s="115"/>
      <c r="N16" s="115"/>
      <c r="O16" s="115"/>
      <c r="P16" s="23"/>
      <c r="Q16" s="117"/>
      <c r="R16" s="35"/>
      <c r="S16" s="3"/>
    </row>
    <row r="17" spans="1:20" ht="18" customHeight="1">
      <c r="B17" s="243"/>
      <c r="C17" s="645"/>
      <c r="D17" s="645"/>
      <c r="E17" s="645"/>
      <c r="F17" s="645"/>
      <c r="G17" s="645"/>
      <c r="H17" s="645"/>
      <c r="I17" s="232">
        <v>35</v>
      </c>
      <c r="J17" s="143" t="s">
        <v>140</v>
      </c>
      <c r="K17" s="234"/>
      <c r="L17" s="233" t="s">
        <v>141</v>
      </c>
      <c r="M17" s="232">
        <f>I17*K17</f>
        <v>0</v>
      </c>
      <c r="N17" s="298"/>
      <c r="O17" s="298"/>
      <c r="P17" s="296"/>
      <c r="Q17" s="299"/>
      <c r="R17" s="35"/>
      <c r="S17" s="3"/>
    </row>
    <row r="18" spans="1:20" ht="18" customHeight="1">
      <c r="B18" s="243"/>
      <c r="C18" s="292"/>
      <c r="D18" s="292"/>
      <c r="E18" s="292"/>
      <c r="F18" s="292"/>
      <c r="G18" s="292"/>
      <c r="H18" s="292"/>
      <c r="I18" s="40"/>
      <c r="J18" s="17"/>
      <c r="K18" s="47"/>
      <c r="L18" s="23"/>
      <c r="M18" s="40"/>
      <c r="N18" s="40"/>
      <c r="O18" s="40"/>
      <c r="P18" s="204"/>
      <c r="Q18" s="140"/>
      <c r="R18" s="35"/>
      <c r="S18" s="3"/>
    </row>
    <row r="19" spans="1:20" ht="18" customHeight="1">
      <c r="B19" s="243"/>
      <c r="C19" s="305"/>
      <c r="D19" s="54"/>
      <c r="E19" s="47"/>
      <c r="F19" s="54"/>
      <c r="G19" s="47"/>
      <c r="H19" s="11"/>
      <c r="I19" s="47"/>
      <c r="J19" s="11"/>
      <c r="K19" s="47"/>
      <c r="L19" s="17"/>
      <c r="M19" s="150" t="str">
        <f>Texte!A252</f>
        <v>Somme contributions</v>
      </c>
      <c r="N19" s="50"/>
      <c r="O19" s="50"/>
      <c r="P19" s="23"/>
      <c r="Q19" s="187"/>
      <c r="R19" s="35"/>
      <c r="S19" s="3"/>
    </row>
    <row r="20" spans="1:20" ht="18" customHeight="1">
      <c r="B20" s="243"/>
      <c r="C20" s="114"/>
      <c r="D20" s="51"/>
      <c r="E20" s="51"/>
      <c r="F20" s="51"/>
      <c r="G20" s="47"/>
      <c r="H20" s="51"/>
      <c r="I20" s="134"/>
      <c r="J20" s="113"/>
      <c r="K20" s="115"/>
      <c r="L20" s="17"/>
      <c r="M20" s="115"/>
      <c r="N20" s="115"/>
      <c r="O20" s="115"/>
      <c r="P20" s="23" t="s">
        <v>141</v>
      </c>
      <c r="Q20" s="52">
        <f>M17</f>
        <v>0</v>
      </c>
      <c r="R20" s="35"/>
      <c r="S20" s="3"/>
    </row>
    <row r="21" spans="1:20" ht="18" customHeight="1">
      <c r="B21" s="243"/>
      <c r="C21" s="529"/>
      <c r="D21" s="529"/>
      <c r="E21" s="529"/>
      <c r="F21" s="529"/>
      <c r="G21" s="529"/>
      <c r="H21" s="529"/>
      <c r="I21" s="529"/>
      <c r="J21" s="529"/>
      <c r="K21" s="115"/>
      <c r="L21" s="17"/>
      <c r="M21" s="115"/>
      <c r="N21" s="115"/>
      <c r="O21" s="115"/>
      <c r="P21" s="23"/>
      <c r="Q21" s="117"/>
      <c r="R21" s="35"/>
      <c r="S21" s="3"/>
    </row>
    <row r="22" spans="1:20" ht="17.100000000000001" customHeight="1">
      <c r="A22" s="186"/>
      <c r="B22" s="341" t="str">
        <f>Texte!A279</f>
        <v>Total contributions nationales à l'efficience des ressources</v>
      </c>
      <c r="C22" s="54"/>
      <c r="D22" s="54"/>
      <c r="E22" s="54"/>
      <c r="F22" s="54"/>
      <c r="G22" s="54"/>
      <c r="H22" s="54"/>
      <c r="I22" s="54"/>
      <c r="J22" s="54"/>
      <c r="K22" s="54"/>
      <c r="L22" s="54"/>
      <c r="M22" s="54"/>
      <c r="N22" s="54"/>
      <c r="O22" s="63"/>
      <c r="P22" s="17"/>
      <c r="Q22" s="191">
        <f>Q13+Q20</f>
        <v>0</v>
      </c>
      <c r="R22" s="15"/>
      <c r="S22" s="15"/>
    </row>
    <row r="23" spans="1:20" ht="6" customHeight="1">
      <c r="A23" s="186"/>
      <c r="B23" s="145"/>
      <c r="C23" s="54"/>
      <c r="D23" s="54"/>
      <c r="E23" s="54"/>
      <c r="F23" s="54"/>
      <c r="G23" s="54"/>
      <c r="H23" s="54"/>
      <c r="I23" s="54"/>
      <c r="J23" s="54"/>
      <c r="K23" s="54"/>
      <c r="L23" s="54"/>
      <c r="M23" s="54"/>
      <c r="N23" s="54"/>
      <c r="O23" s="63"/>
      <c r="P23" s="17"/>
      <c r="Q23" s="321"/>
      <c r="R23" s="15"/>
      <c r="S23" s="15"/>
    </row>
    <row r="24" spans="1:20" ht="17.100000000000001" customHeight="1">
      <c r="A24" s="186"/>
      <c r="B24" s="322"/>
      <c r="C24" s="65"/>
      <c r="D24" s="65"/>
      <c r="E24" s="65"/>
      <c r="F24" s="65"/>
      <c r="G24" s="65"/>
      <c r="H24" s="65"/>
      <c r="I24" s="65"/>
      <c r="J24" s="65"/>
      <c r="K24" s="65"/>
      <c r="L24" s="65"/>
      <c r="M24" s="65"/>
      <c r="N24" s="65"/>
      <c r="O24" s="323"/>
      <c r="P24" s="61"/>
      <c r="Q24" s="324"/>
      <c r="R24" s="15"/>
      <c r="S24" s="15"/>
    </row>
    <row r="25" spans="1:20" ht="17.100000000000001" customHeight="1">
      <c r="A25" s="16"/>
      <c r="B25" s="53" t="str">
        <f>Texte!A112</f>
        <v>Contributions à l'efficience des ressources (régionales: Art. 77 a/b LAgr et Art. 62a LEaux)</v>
      </c>
      <c r="C25" s="54"/>
      <c r="D25" s="54"/>
      <c r="E25" s="54"/>
      <c r="F25" s="54"/>
      <c r="G25" s="54"/>
      <c r="H25" s="54"/>
      <c r="I25" s="54"/>
      <c r="J25" s="54"/>
      <c r="K25" s="54"/>
      <c r="L25" s="54"/>
      <c r="M25" s="54"/>
      <c r="N25" s="54"/>
      <c r="O25" s="63"/>
      <c r="P25" s="17"/>
      <c r="Q25" s="274"/>
      <c r="R25" s="15"/>
      <c r="S25" s="15"/>
    </row>
    <row r="26" spans="1:20" ht="17.100000000000001" customHeight="1">
      <c r="B26" s="125"/>
      <c r="C26" s="61"/>
      <c r="D26" s="61"/>
      <c r="E26" s="61"/>
      <c r="F26" s="61"/>
      <c r="G26" s="61"/>
      <c r="H26" s="61"/>
      <c r="I26" s="65"/>
      <c r="J26" s="65"/>
      <c r="K26" s="65" t="str">
        <f>Texte!A188</f>
        <v>Contribution (Fr.)</v>
      </c>
      <c r="L26" s="65"/>
      <c r="M26" s="65"/>
      <c r="N26" s="198"/>
      <c r="O26" s="65"/>
      <c r="P26" s="61"/>
      <c r="Q26" s="199" t="str">
        <f>Texte!A282</f>
        <v>Total (Fr.)</v>
      </c>
      <c r="R26" s="15"/>
      <c r="S26" s="15"/>
    </row>
    <row r="27" spans="1:20" ht="17.100000000000001" customHeight="1">
      <c r="B27" s="12"/>
      <c r="C27" s="17" t="str">
        <f>Texte!A165</f>
        <v>Contribution pour l'utilisation durable des ressources art. 77a et 77b LAgr</v>
      </c>
      <c r="D27" s="17"/>
      <c r="E27" s="17"/>
      <c r="F27" s="17"/>
      <c r="G27" s="17"/>
      <c r="H27" s="54"/>
      <c r="I27" s="50"/>
      <c r="J27" s="17"/>
      <c r="K27" s="325"/>
      <c r="L27" s="23"/>
      <c r="M27" s="40"/>
      <c r="N27" s="40"/>
      <c r="O27" s="40"/>
      <c r="P27" s="23"/>
      <c r="Q27" s="72"/>
      <c r="R27" s="15"/>
      <c r="S27" s="15"/>
    </row>
    <row r="28" spans="1:20" ht="17.100000000000001" customHeight="1">
      <c r="B28" s="12"/>
      <c r="C28" s="17" t="str">
        <f>Texte!A159</f>
        <v>Contribution pour la protection de l'eau art. 62a LEaux</v>
      </c>
      <c r="D28" s="54"/>
      <c r="E28" s="54"/>
      <c r="F28" s="54"/>
      <c r="G28" s="54"/>
      <c r="H28" s="54"/>
      <c r="I28" s="50"/>
      <c r="J28" s="17"/>
      <c r="K28" s="325"/>
      <c r="L28" s="23"/>
      <c r="M28" s="40"/>
      <c r="N28" s="40"/>
      <c r="O28" s="40"/>
      <c r="P28" s="23"/>
      <c r="Q28" s="72"/>
      <c r="R28" s="15"/>
      <c r="S28" s="15"/>
    </row>
    <row r="29" spans="1:20" ht="17.100000000000001" customHeight="1">
      <c r="B29" s="12"/>
      <c r="C29" s="47"/>
      <c r="D29" s="54"/>
      <c r="E29" s="47"/>
      <c r="F29" s="54"/>
      <c r="G29" s="47"/>
      <c r="H29" s="11"/>
      <c r="I29" s="47"/>
      <c r="J29" s="11"/>
      <c r="K29" s="47"/>
      <c r="L29" s="17"/>
      <c r="M29" s="150"/>
      <c r="N29" s="50"/>
      <c r="O29" s="50"/>
      <c r="P29" s="23"/>
      <c r="Q29" s="187"/>
      <c r="R29" s="15"/>
      <c r="S29" s="15"/>
    </row>
    <row r="30" spans="1:20" ht="17.100000000000001" customHeight="1">
      <c r="B30" s="341" t="str">
        <f>Texte!A280</f>
        <v>Total contributions régionales à l'efficience des ressources</v>
      </c>
      <c r="D30" s="51"/>
      <c r="E30" s="51"/>
      <c r="F30" s="51"/>
      <c r="G30" s="47"/>
      <c r="H30" s="51"/>
      <c r="I30" s="134"/>
      <c r="J30" s="113"/>
      <c r="K30" s="115"/>
      <c r="L30" s="17"/>
      <c r="M30" s="115"/>
      <c r="N30" s="115"/>
      <c r="O30" s="63"/>
      <c r="P30" s="23" t="s">
        <v>141</v>
      </c>
      <c r="Q30" s="191">
        <f>SUM(K27:K28)</f>
        <v>0</v>
      </c>
      <c r="R30" s="15"/>
      <c r="S30" s="15"/>
    </row>
    <row r="31" spans="1:20" s="186" customFormat="1" ht="6" customHeight="1">
      <c r="B31" s="124"/>
      <c r="C31" s="75"/>
      <c r="D31" s="75"/>
      <c r="E31" s="75"/>
      <c r="F31" s="75"/>
      <c r="G31" s="75"/>
      <c r="H31" s="30"/>
      <c r="I31" s="30"/>
      <c r="J31" s="30"/>
      <c r="K31" s="75"/>
      <c r="L31" s="75"/>
      <c r="M31" s="75"/>
      <c r="N31" s="75"/>
      <c r="O31" s="75"/>
      <c r="P31" s="75"/>
      <c r="Q31" s="149"/>
      <c r="R31" s="15"/>
      <c r="S31" s="15"/>
      <c r="T31" s="16"/>
    </row>
    <row r="32" spans="1:20" s="186" customFormat="1" ht="30" customHeight="1">
      <c r="A32" s="184"/>
      <c r="B32" s="184"/>
      <c r="C32" s="710" t="str">
        <f>Texte!A327</f>
        <v>Etat selon modifications d'ordonnances dans le cadre de l'initiative parlementaire 19.475 d'avril 2022. 
AGRIDEA décline toute responsabilité quant aux conséquences de l’utilisation de cet outil.                                                          Version 4.9.3</v>
      </c>
      <c r="D32" s="710"/>
      <c r="E32" s="710"/>
      <c r="F32" s="710"/>
      <c r="G32" s="710"/>
      <c r="H32" s="710"/>
      <c r="I32" s="710"/>
      <c r="J32" s="710"/>
      <c r="K32" s="710"/>
      <c r="L32" s="710"/>
      <c r="M32" s="710"/>
      <c r="N32" s="710"/>
      <c r="O32" s="710"/>
      <c r="P32" s="710"/>
      <c r="Q32" s="710"/>
      <c r="R32" s="184"/>
      <c r="S32" s="184"/>
      <c r="T32" s="16"/>
    </row>
    <row r="33" spans="1:20" s="186" customFormat="1" ht="17.100000000000001" customHeight="1">
      <c r="B33" s="2"/>
      <c r="C33" s="2"/>
      <c r="D33" s="2"/>
      <c r="E33" s="2"/>
      <c r="F33" s="2"/>
      <c r="G33" s="2"/>
      <c r="H33" s="2"/>
      <c r="I33" s="2"/>
      <c r="J33" s="2"/>
      <c r="K33" s="2"/>
      <c r="L33" s="2"/>
      <c r="M33" s="2"/>
      <c r="N33" s="2"/>
      <c r="O33" s="2"/>
      <c r="P33" s="2"/>
      <c r="Q33" s="2"/>
      <c r="R33" s="11"/>
      <c r="S33" s="11"/>
      <c r="T33" s="16"/>
    </row>
    <row r="34" spans="1:20" s="186" customFormat="1" ht="17.100000000000001" customHeight="1">
      <c r="A34" s="184"/>
      <c r="B34" s="2"/>
      <c r="C34" s="2"/>
      <c r="D34" s="2"/>
      <c r="E34" s="2"/>
      <c r="F34" s="2"/>
      <c r="G34" s="2"/>
      <c r="H34" s="2"/>
      <c r="I34" s="2"/>
      <c r="J34" s="2"/>
      <c r="K34" s="2"/>
      <c r="L34" s="2"/>
      <c r="M34" s="2"/>
      <c r="N34" s="2"/>
      <c r="O34" s="2"/>
      <c r="P34" s="2"/>
      <c r="Q34" s="2"/>
      <c r="R34" s="2"/>
      <c r="S34" s="2"/>
      <c r="T34" s="16"/>
    </row>
    <row r="35" spans="1:20" s="186" customFormat="1" ht="14.1" customHeight="1">
      <c r="A35" s="184"/>
      <c r="B35" s="2"/>
      <c r="C35" s="2"/>
      <c r="D35" s="2"/>
      <c r="E35" s="2"/>
      <c r="F35" s="2"/>
      <c r="G35" s="2"/>
      <c r="H35" s="2"/>
      <c r="I35" s="2"/>
      <c r="J35" s="2"/>
      <c r="K35" s="2"/>
      <c r="L35" s="2"/>
      <c r="M35" s="2"/>
      <c r="N35" s="2"/>
      <c r="O35" s="2"/>
      <c r="P35" s="2"/>
      <c r="Q35" s="2"/>
      <c r="R35" s="2"/>
      <c r="S35" s="2"/>
      <c r="T35" s="16"/>
    </row>
    <row r="36" spans="1:20" ht="14.1" customHeight="1">
      <c r="B36" s="2"/>
      <c r="C36" s="2"/>
      <c r="D36" s="2"/>
      <c r="E36" s="2"/>
      <c r="F36" s="2"/>
      <c r="G36" s="2"/>
      <c r="H36" s="2"/>
      <c r="I36" s="2"/>
      <c r="J36" s="2"/>
      <c r="K36" s="2"/>
      <c r="L36" s="2"/>
      <c r="M36" s="2"/>
      <c r="N36" s="2"/>
      <c r="O36" s="2"/>
      <c r="P36" s="2"/>
      <c r="Q36" s="2"/>
      <c r="R36" s="2"/>
      <c r="S36" s="2"/>
    </row>
    <row r="37" spans="1:20" ht="14.1" customHeight="1">
      <c r="B37" s="2"/>
      <c r="C37" s="2"/>
      <c r="D37" s="2"/>
      <c r="E37" s="2"/>
      <c r="F37" s="2"/>
      <c r="G37" s="2"/>
      <c r="H37" s="2"/>
      <c r="I37" s="2"/>
      <c r="J37" s="2"/>
      <c r="K37" s="2"/>
      <c r="L37" s="2"/>
      <c r="M37" s="2"/>
      <c r="N37" s="2"/>
      <c r="O37" s="2"/>
      <c r="P37" s="2"/>
      <c r="Q37" s="2"/>
      <c r="R37" s="2"/>
      <c r="S37" s="2"/>
    </row>
    <row r="38" spans="1:20" ht="14.1" customHeight="1">
      <c r="B38" s="2"/>
      <c r="C38" s="2"/>
      <c r="D38" s="2"/>
      <c r="E38" s="2"/>
      <c r="F38" s="2"/>
      <c r="G38" s="2"/>
      <c r="H38" s="2"/>
      <c r="I38" s="2"/>
      <c r="J38" s="2"/>
      <c r="K38" s="2"/>
      <c r="L38" s="2"/>
      <c r="M38" s="2"/>
      <c r="N38" s="2"/>
      <c r="O38" s="2"/>
      <c r="P38" s="2"/>
      <c r="Q38" s="2"/>
      <c r="R38" s="2"/>
      <c r="S38" s="2"/>
    </row>
    <row r="39" spans="1:20" s="186" customFormat="1" ht="14.1" customHeight="1">
      <c r="A39" s="184"/>
      <c r="B39" s="2"/>
      <c r="C39" s="2"/>
      <c r="D39" s="2"/>
      <c r="E39" s="2"/>
      <c r="F39" s="2"/>
      <c r="G39" s="2"/>
      <c r="H39" s="2"/>
      <c r="I39" s="2"/>
      <c r="J39" s="2"/>
      <c r="K39" s="2"/>
      <c r="L39" s="2"/>
      <c r="M39" s="2"/>
      <c r="N39" s="2"/>
      <c r="O39" s="2"/>
      <c r="P39" s="2"/>
      <c r="Q39" s="2"/>
      <c r="R39" s="2"/>
      <c r="S39" s="2"/>
      <c r="T39" s="16"/>
    </row>
    <row r="40" spans="1:20" s="186" customFormat="1" ht="14.1" customHeight="1">
      <c r="A40" s="184"/>
      <c r="B40" s="2"/>
      <c r="C40" s="2"/>
      <c r="D40" s="2"/>
      <c r="E40" s="2"/>
      <c r="F40" s="2"/>
      <c r="G40" s="2"/>
      <c r="H40" s="2"/>
      <c r="I40" s="2"/>
      <c r="J40" s="2"/>
      <c r="K40" s="2"/>
      <c r="L40" s="2"/>
      <c r="M40" s="2"/>
      <c r="N40" s="2"/>
      <c r="O40" s="2"/>
      <c r="P40" s="2"/>
      <c r="Q40" s="2"/>
      <c r="R40" s="2"/>
      <c r="S40" s="2"/>
      <c r="T40" s="16"/>
    </row>
    <row r="41" spans="1:20" s="186" customFormat="1" ht="14.1" customHeight="1">
      <c r="A41" s="184"/>
      <c r="B41" s="2"/>
      <c r="C41" s="2"/>
      <c r="D41" s="2"/>
      <c r="E41" s="2"/>
      <c r="F41" s="2"/>
      <c r="G41" s="2"/>
      <c r="H41" s="2"/>
      <c r="I41" s="2"/>
      <c r="J41" s="2"/>
      <c r="K41" s="2"/>
      <c r="L41" s="2"/>
      <c r="M41" s="2"/>
      <c r="N41" s="2"/>
      <c r="O41" s="2"/>
      <c r="P41" s="2"/>
      <c r="Q41" s="2"/>
      <c r="R41" s="2"/>
      <c r="S41" s="2"/>
      <c r="T41" s="16"/>
    </row>
    <row r="42" spans="1:20" s="186" customFormat="1" ht="14.1" customHeight="1">
      <c r="A42" s="184"/>
      <c r="B42" s="2"/>
      <c r="C42" s="2"/>
      <c r="D42" s="2"/>
      <c r="E42" s="2"/>
      <c r="F42" s="2"/>
      <c r="G42" s="2"/>
      <c r="H42" s="2"/>
      <c r="I42" s="2"/>
      <c r="J42" s="2"/>
      <c r="K42" s="2"/>
      <c r="L42" s="2"/>
      <c r="M42" s="2"/>
      <c r="N42" s="2"/>
      <c r="O42" s="2"/>
      <c r="P42" s="2"/>
      <c r="Q42" s="2"/>
      <c r="R42" s="2"/>
      <c r="S42" s="2"/>
      <c r="T42" s="16"/>
    </row>
    <row r="43" spans="1:20" s="186" customFormat="1" ht="14.1" customHeight="1">
      <c r="A43" s="184"/>
      <c r="B43" s="2"/>
      <c r="C43" s="2"/>
      <c r="D43" s="2"/>
      <c r="E43" s="2"/>
      <c r="F43" s="2"/>
      <c r="G43" s="2"/>
      <c r="H43" s="2"/>
      <c r="I43" s="2"/>
      <c r="J43" s="2"/>
      <c r="K43" s="2"/>
      <c r="L43" s="2"/>
      <c r="M43" s="2"/>
      <c r="N43" s="2"/>
      <c r="O43" s="2"/>
      <c r="P43" s="2"/>
      <c r="Q43" s="2"/>
      <c r="R43" s="2"/>
      <c r="S43" s="2"/>
      <c r="T43" s="16"/>
    </row>
    <row r="44" spans="1:20" s="186" customFormat="1" ht="14.1" customHeight="1">
      <c r="A44" s="184"/>
      <c r="B44" s="2"/>
      <c r="C44" s="2"/>
      <c r="D44" s="2"/>
      <c r="E44" s="2"/>
      <c r="F44" s="2"/>
      <c r="G44" s="2"/>
      <c r="H44" s="2"/>
      <c r="I44" s="2"/>
      <c r="J44" s="2"/>
      <c r="K44" s="2"/>
      <c r="L44" s="2"/>
      <c r="M44" s="2"/>
      <c r="N44" s="2"/>
      <c r="O44" s="2"/>
      <c r="P44" s="2"/>
      <c r="Q44" s="2"/>
      <c r="R44" s="2"/>
      <c r="S44" s="2"/>
      <c r="T44" s="16"/>
    </row>
    <row r="45" spans="1:20" s="186" customFormat="1" ht="14.1" customHeight="1">
      <c r="A45" s="184"/>
      <c r="B45" s="2"/>
      <c r="C45" s="2"/>
      <c r="D45" s="2"/>
      <c r="E45" s="2"/>
      <c r="F45" s="2"/>
      <c r="G45" s="2"/>
      <c r="H45" s="2"/>
      <c r="I45" s="2"/>
      <c r="J45" s="2"/>
      <c r="K45" s="2"/>
      <c r="L45" s="2"/>
      <c r="M45" s="2"/>
      <c r="N45" s="2"/>
      <c r="O45" s="2"/>
      <c r="P45" s="2"/>
      <c r="Q45" s="2"/>
      <c r="R45" s="2"/>
      <c r="S45" s="2"/>
      <c r="T45" s="16"/>
    </row>
    <row r="46" spans="1:20" ht="14.1" customHeight="1">
      <c r="B46" s="2"/>
      <c r="C46" s="2"/>
      <c r="D46" s="2"/>
      <c r="E46" s="2"/>
      <c r="F46" s="2"/>
      <c r="G46" s="2"/>
      <c r="H46" s="2"/>
      <c r="I46" s="2"/>
      <c r="J46" s="2"/>
      <c r="K46" s="2"/>
      <c r="L46" s="2"/>
      <c r="M46" s="2"/>
      <c r="N46" s="2"/>
      <c r="O46" s="2"/>
      <c r="P46" s="2"/>
      <c r="Q46" s="2"/>
      <c r="R46" s="2"/>
      <c r="S46" s="2"/>
    </row>
    <row r="47" spans="1:20" ht="14.1" customHeight="1">
      <c r="B47" s="2"/>
      <c r="C47" s="2"/>
      <c r="D47" s="2"/>
      <c r="E47" s="2"/>
      <c r="F47" s="2"/>
      <c r="G47" s="2"/>
      <c r="H47" s="2"/>
      <c r="I47" s="2"/>
      <c r="J47" s="2"/>
      <c r="K47" s="2"/>
      <c r="L47" s="2"/>
      <c r="M47" s="2"/>
      <c r="N47" s="2"/>
      <c r="O47" s="2"/>
      <c r="P47" s="2"/>
      <c r="Q47" s="2"/>
      <c r="R47" s="2"/>
      <c r="S47" s="2"/>
    </row>
    <row r="48" spans="1:20" ht="14.1" customHeight="1">
      <c r="B48" s="2"/>
      <c r="C48" s="2"/>
      <c r="D48" s="2"/>
      <c r="E48" s="2"/>
      <c r="F48" s="2"/>
      <c r="G48" s="2"/>
      <c r="H48" s="2"/>
      <c r="I48" s="2"/>
      <c r="J48" s="2"/>
      <c r="K48" s="2"/>
      <c r="L48" s="2"/>
      <c r="M48" s="2"/>
      <c r="N48" s="2"/>
      <c r="O48" s="2"/>
      <c r="P48" s="2"/>
      <c r="Q48" s="2"/>
      <c r="R48" s="2"/>
      <c r="S48" s="2"/>
    </row>
    <row r="49" spans="1:20" ht="14.1" customHeight="1">
      <c r="B49" s="2"/>
      <c r="C49" s="2"/>
      <c r="D49" s="2"/>
      <c r="E49" s="2"/>
      <c r="F49" s="2"/>
      <c r="G49" s="2"/>
      <c r="H49" s="2"/>
      <c r="I49" s="2"/>
      <c r="J49" s="2"/>
      <c r="K49" s="2"/>
      <c r="L49" s="2"/>
      <c r="M49" s="2"/>
      <c r="N49" s="2"/>
      <c r="O49" s="2"/>
      <c r="P49" s="2"/>
      <c r="Q49" s="2"/>
      <c r="R49" s="2"/>
      <c r="S49" s="2"/>
      <c r="T49" s="3"/>
    </row>
    <row r="50" spans="1:20" s="186" customFormat="1" ht="14.1" customHeight="1">
      <c r="A50" s="184"/>
      <c r="B50" s="2"/>
      <c r="C50" s="2"/>
      <c r="D50" s="2"/>
      <c r="E50" s="2"/>
      <c r="F50" s="2"/>
      <c r="G50" s="2"/>
      <c r="H50" s="2"/>
      <c r="I50" s="2"/>
      <c r="J50" s="2"/>
      <c r="K50" s="2"/>
      <c r="L50" s="2"/>
      <c r="M50" s="2"/>
      <c r="N50" s="2"/>
      <c r="O50" s="2"/>
      <c r="P50" s="2"/>
      <c r="Q50" s="2"/>
      <c r="R50" s="2"/>
      <c r="S50" s="2"/>
      <c r="T50" s="16"/>
    </row>
    <row r="51" spans="1:20" s="186" customFormat="1" ht="14.1" customHeight="1">
      <c r="A51" s="184"/>
      <c r="B51" s="2"/>
      <c r="C51" s="2"/>
      <c r="D51" s="2"/>
      <c r="E51" s="2"/>
      <c r="F51" s="2"/>
      <c r="G51" s="2"/>
      <c r="H51" s="2"/>
      <c r="I51" s="2"/>
      <c r="J51" s="2"/>
      <c r="K51" s="2"/>
      <c r="L51" s="2"/>
      <c r="M51" s="2"/>
      <c r="N51" s="2"/>
      <c r="O51" s="2"/>
      <c r="P51" s="2"/>
      <c r="Q51" s="2"/>
      <c r="R51" s="2"/>
      <c r="S51" s="2"/>
      <c r="T51" s="16"/>
    </row>
    <row r="52" spans="1:20" ht="14.1" customHeight="1">
      <c r="B52" s="2"/>
      <c r="C52" s="2"/>
      <c r="D52" s="2"/>
      <c r="E52" s="2"/>
      <c r="F52" s="2"/>
      <c r="G52" s="2"/>
      <c r="H52" s="2"/>
      <c r="I52" s="2"/>
      <c r="J52" s="2"/>
      <c r="K52" s="2"/>
      <c r="L52" s="2"/>
      <c r="M52" s="2"/>
      <c r="N52" s="2"/>
      <c r="O52" s="2"/>
      <c r="P52" s="2"/>
      <c r="Q52" s="2"/>
      <c r="R52" s="2"/>
      <c r="S52" s="2"/>
    </row>
    <row r="53" spans="1:20" s="186" customFormat="1" ht="14.1" customHeight="1">
      <c r="A53" s="184"/>
      <c r="B53" s="2"/>
      <c r="C53" s="2"/>
      <c r="D53" s="2"/>
      <c r="E53" s="2"/>
      <c r="F53" s="2"/>
      <c r="G53" s="2"/>
      <c r="H53" s="2"/>
      <c r="I53" s="2"/>
      <c r="J53" s="2"/>
      <c r="K53" s="2"/>
      <c r="L53" s="2"/>
      <c r="M53" s="2"/>
      <c r="N53" s="2"/>
      <c r="O53" s="2"/>
      <c r="P53" s="2"/>
      <c r="Q53" s="2"/>
      <c r="R53" s="2"/>
      <c r="S53" s="2"/>
      <c r="T53" s="16"/>
    </row>
    <row r="54" spans="1:20" ht="14.1" customHeight="1">
      <c r="B54" s="2"/>
      <c r="C54" s="2"/>
      <c r="D54" s="2"/>
      <c r="E54" s="2"/>
      <c r="F54" s="2"/>
      <c r="G54" s="2"/>
      <c r="H54" s="2"/>
      <c r="I54" s="2"/>
      <c r="J54" s="2"/>
      <c r="K54" s="2"/>
      <c r="L54" s="2"/>
      <c r="M54" s="2"/>
      <c r="N54" s="2"/>
      <c r="O54" s="2"/>
      <c r="P54" s="2"/>
      <c r="Q54" s="2"/>
      <c r="R54" s="2"/>
      <c r="S54" s="2"/>
      <c r="T54" s="3"/>
    </row>
    <row r="55" spans="1:20" ht="14.1" customHeight="1">
      <c r="B55" s="2"/>
      <c r="C55" s="2"/>
      <c r="D55" s="2"/>
      <c r="E55" s="2"/>
      <c r="F55" s="2"/>
      <c r="G55" s="2"/>
      <c r="H55" s="2"/>
      <c r="I55" s="2"/>
      <c r="J55" s="2"/>
      <c r="K55" s="2"/>
      <c r="L55" s="2"/>
      <c r="M55" s="2"/>
      <c r="N55" s="2"/>
      <c r="O55" s="2"/>
      <c r="P55" s="2"/>
      <c r="Q55" s="2"/>
      <c r="R55" s="2"/>
      <c r="S55" s="2"/>
      <c r="T55" s="3"/>
    </row>
    <row r="56" spans="1:20" ht="14.1" customHeight="1">
      <c r="B56" s="2"/>
      <c r="C56" s="2"/>
      <c r="D56" s="2"/>
      <c r="E56" s="2"/>
      <c r="F56" s="2"/>
      <c r="G56" s="2"/>
      <c r="H56" s="2"/>
      <c r="I56" s="2"/>
      <c r="J56" s="2"/>
      <c r="K56" s="2"/>
      <c r="L56" s="2"/>
      <c r="M56" s="2"/>
      <c r="N56" s="2"/>
      <c r="O56" s="2"/>
      <c r="P56" s="2"/>
      <c r="Q56" s="2"/>
      <c r="R56" s="2"/>
      <c r="S56" s="2"/>
      <c r="T56" s="3"/>
    </row>
    <row r="57" spans="1:20" ht="14.1" customHeight="1">
      <c r="B57" s="2"/>
      <c r="C57" s="2"/>
      <c r="D57" s="2"/>
      <c r="E57" s="2"/>
      <c r="F57" s="2"/>
      <c r="G57" s="2"/>
      <c r="H57" s="2"/>
      <c r="I57" s="2"/>
      <c r="J57" s="2"/>
      <c r="K57" s="2"/>
      <c r="L57" s="2"/>
      <c r="M57" s="2"/>
      <c r="N57" s="2"/>
      <c r="O57" s="2"/>
      <c r="P57" s="2"/>
      <c r="Q57" s="2"/>
      <c r="R57" s="2"/>
      <c r="S57" s="2"/>
      <c r="T57" s="3"/>
    </row>
    <row r="58" spans="1:20" ht="14.1" customHeight="1">
      <c r="B58" s="2"/>
      <c r="C58" s="2"/>
      <c r="D58" s="2"/>
      <c r="E58" s="2"/>
      <c r="F58" s="2"/>
      <c r="G58" s="2"/>
      <c r="H58" s="2"/>
      <c r="I58" s="2"/>
      <c r="J58" s="2"/>
      <c r="K58" s="2"/>
      <c r="L58" s="2"/>
      <c r="M58" s="2"/>
      <c r="N58" s="2"/>
      <c r="O58" s="2"/>
      <c r="P58" s="2"/>
      <c r="Q58" s="2"/>
      <c r="R58" s="2"/>
      <c r="S58" s="2"/>
      <c r="T58" s="3"/>
    </row>
    <row r="59" spans="1:20" ht="14.1" customHeight="1">
      <c r="B59" s="2"/>
      <c r="C59" s="2"/>
      <c r="D59" s="2"/>
      <c r="E59" s="2"/>
      <c r="F59" s="2"/>
      <c r="G59" s="2"/>
      <c r="H59" s="2"/>
      <c r="I59" s="2"/>
      <c r="J59" s="2"/>
      <c r="K59" s="2"/>
      <c r="L59" s="2"/>
      <c r="M59" s="2"/>
      <c r="N59" s="2"/>
      <c r="O59" s="2"/>
      <c r="P59" s="2"/>
      <c r="Q59" s="2"/>
      <c r="R59" s="2"/>
      <c r="S59" s="2"/>
      <c r="T59" s="3"/>
    </row>
    <row r="60" spans="1:20" ht="14.1" customHeight="1">
      <c r="B60" s="2"/>
      <c r="C60" s="2"/>
      <c r="D60" s="2"/>
      <c r="E60" s="2"/>
      <c r="F60" s="2"/>
      <c r="G60" s="2"/>
      <c r="H60" s="2"/>
      <c r="I60" s="2"/>
      <c r="J60" s="2"/>
      <c r="K60" s="2"/>
      <c r="L60" s="2"/>
      <c r="M60" s="2"/>
      <c r="N60" s="2"/>
      <c r="O60" s="2"/>
      <c r="P60" s="2"/>
      <c r="Q60" s="2"/>
      <c r="R60" s="2"/>
      <c r="S60" s="2"/>
      <c r="T60" s="3"/>
    </row>
    <row r="61" spans="1:20" ht="14.1" customHeight="1">
      <c r="B61" s="2"/>
      <c r="C61" s="2"/>
      <c r="D61" s="2"/>
      <c r="E61" s="2"/>
      <c r="F61" s="2"/>
      <c r="G61" s="2"/>
      <c r="H61" s="2"/>
      <c r="I61" s="2"/>
      <c r="J61" s="2"/>
      <c r="K61" s="2"/>
      <c r="L61" s="2"/>
      <c r="M61" s="2"/>
      <c r="N61" s="2"/>
      <c r="O61" s="2"/>
      <c r="P61" s="2"/>
      <c r="Q61" s="2"/>
      <c r="R61" s="2"/>
      <c r="S61" s="2"/>
      <c r="T61" s="3"/>
    </row>
    <row r="62" spans="1:20" ht="14.1" customHeight="1">
      <c r="B62" s="2"/>
      <c r="C62" s="2"/>
      <c r="D62" s="2"/>
      <c r="E62" s="2"/>
      <c r="F62" s="2"/>
      <c r="G62" s="2"/>
      <c r="H62" s="2"/>
      <c r="I62" s="2"/>
      <c r="J62" s="2"/>
      <c r="K62" s="2"/>
      <c r="L62" s="2"/>
      <c r="M62" s="2"/>
      <c r="N62" s="2"/>
      <c r="O62" s="2"/>
      <c r="P62" s="2"/>
      <c r="Q62" s="2"/>
      <c r="R62" s="2"/>
      <c r="S62" s="2"/>
      <c r="T62" s="3"/>
    </row>
    <row r="63" spans="1:20" ht="14.1" customHeight="1">
      <c r="B63" s="2"/>
      <c r="C63" s="2"/>
      <c r="D63" s="2"/>
      <c r="E63" s="2"/>
      <c r="F63" s="2"/>
      <c r="G63" s="2"/>
      <c r="H63" s="2"/>
      <c r="I63" s="2"/>
      <c r="J63" s="2"/>
      <c r="K63" s="2"/>
      <c r="L63" s="2"/>
      <c r="M63" s="2"/>
      <c r="N63" s="2"/>
      <c r="O63" s="2"/>
      <c r="P63" s="2"/>
      <c r="Q63" s="2"/>
      <c r="R63" s="2"/>
      <c r="S63" s="2"/>
      <c r="T63" s="3"/>
    </row>
    <row r="64" spans="1:20" ht="14.1" customHeight="1">
      <c r="B64" s="2"/>
      <c r="C64" s="2"/>
      <c r="D64" s="2"/>
      <c r="E64" s="2"/>
      <c r="F64" s="2"/>
      <c r="G64" s="2"/>
      <c r="H64" s="2"/>
      <c r="I64" s="2"/>
      <c r="J64" s="2"/>
      <c r="K64" s="2"/>
      <c r="L64" s="2"/>
      <c r="M64" s="2"/>
      <c r="N64" s="2"/>
      <c r="O64" s="2"/>
      <c r="P64" s="2"/>
      <c r="Q64" s="2"/>
      <c r="R64" s="2"/>
      <c r="S64" s="2"/>
      <c r="T64" s="3"/>
    </row>
    <row r="65" spans="2:20" ht="14.1" customHeight="1">
      <c r="B65" s="2"/>
      <c r="C65" s="2"/>
      <c r="D65" s="2"/>
      <c r="E65" s="2"/>
      <c r="F65" s="2"/>
      <c r="G65" s="2"/>
      <c r="H65" s="2"/>
      <c r="I65" s="2"/>
      <c r="J65" s="2"/>
      <c r="K65" s="2"/>
      <c r="L65" s="2"/>
      <c r="M65" s="2"/>
      <c r="N65" s="2"/>
      <c r="O65" s="2"/>
      <c r="P65" s="2"/>
      <c r="Q65" s="2"/>
      <c r="R65" s="2"/>
      <c r="S65" s="2"/>
      <c r="T65" s="3"/>
    </row>
    <row r="66" spans="2:20" ht="14.1" customHeight="1">
      <c r="B66" s="2"/>
      <c r="C66" s="2"/>
      <c r="D66" s="2"/>
      <c r="E66" s="2"/>
      <c r="F66" s="2"/>
      <c r="G66" s="2"/>
      <c r="H66" s="2"/>
      <c r="I66" s="2"/>
      <c r="J66" s="2"/>
      <c r="K66" s="2"/>
      <c r="L66" s="2"/>
      <c r="M66" s="2"/>
      <c r="N66" s="2"/>
      <c r="O66" s="2"/>
      <c r="P66" s="2"/>
      <c r="Q66" s="2"/>
      <c r="R66" s="2"/>
      <c r="S66" s="2"/>
      <c r="T66" s="3"/>
    </row>
    <row r="67" spans="2:20" ht="14.1" customHeight="1">
      <c r="B67" s="2"/>
      <c r="C67" s="2"/>
      <c r="D67" s="2"/>
      <c r="E67" s="2"/>
      <c r="F67" s="2"/>
      <c r="G67" s="2"/>
      <c r="H67" s="2"/>
      <c r="I67" s="2"/>
      <c r="J67" s="2"/>
      <c r="K67" s="2"/>
      <c r="L67" s="2"/>
      <c r="M67" s="2"/>
      <c r="N67" s="2"/>
      <c r="O67" s="2"/>
      <c r="P67" s="2"/>
      <c r="Q67" s="2"/>
      <c r="R67" s="2"/>
      <c r="S67" s="2"/>
      <c r="T67" s="3"/>
    </row>
    <row r="68" spans="2:20" ht="14.1" customHeight="1">
      <c r="B68" s="2"/>
      <c r="C68" s="2"/>
      <c r="D68" s="2"/>
      <c r="E68" s="2"/>
      <c r="F68" s="2"/>
      <c r="G68" s="2"/>
      <c r="H68" s="2"/>
      <c r="I68" s="2"/>
      <c r="J68" s="2"/>
      <c r="K68" s="2"/>
      <c r="L68" s="2"/>
      <c r="M68" s="2"/>
      <c r="N68" s="2"/>
      <c r="O68" s="2"/>
      <c r="P68" s="2"/>
      <c r="Q68" s="2"/>
      <c r="R68" s="2"/>
      <c r="S68" s="2"/>
      <c r="T68" s="3"/>
    </row>
    <row r="69" spans="2:20" ht="14.1" customHeight="1">
      <c r="B69" s="2"/>
      <c r="C69" s="2"/>
      <c r="D69" s="2"/>
      <c r="E69" s="2"/>
      <c r="F69" s="2"/>
      <c r="G69" s="2"/>
      <c r="H69" s="2"/>
      <c r="I69" s="2"/>
      <c r="J69" s="2"/>
      <c r="K69" s="2"/>
      <c r="L69" s="2"/>
      <c r="M69" s="2"/>
      <c r="N69" s="2"/>
      <c r="O69" s="2"/>
      <c r="P69" s="2"/>
      <c r="Q69" s="2"/>
      <c r="R69" s="2"/>
      <c r="S69" s="2"/>
      <c r="T69" s="3"/>
    </row>
    <row r="70" spans="2:20" ht="14.1" customHeight="1">
      <c r="B70" s="2"/>
      <c r="C70" s="2"/>
      <c r="D70" s="2"/>
      <c r="E70" s="2"/>
      <c r="F70" s="2"/>
      <c r="G70" s="2"/>
      <c r="H70" s="2"/>
      <c r="I70" s="2"/>
      <c r="J70" s="2"/>
      <c r="K70" s="2"/>
      <c r="L70" s="2"/>
      <c r="M70" s="2"/>
      <c r="N70" s="2"/>
      <c r="O70" s="2"/>
      <c r="P70" s="2"/>
      <c r="Q70" s="2"/>
      <c r="R70" s="2"/>
      <c r="S70" s="2"/>
      <c r="T70" s="3"/>
    </row>
    <row r="71" spans="2:20" ht="14.1" customHeight="1">
      <c r="B71" s="2"/>
      <c r="C71" s="2"/>
      <c r="D71" s="2"/>
      <c r="E71" s="2"/>
      <c r="F71" s="2"/>
      <c r="G71" s="2"/>
      <c r="H71" s="2"/>
      <c r="I71" s="2"/>
      <c r="J71" s="2"/>
      <c r="K71" s="2"/>
      <c r="L71" s="2"/>
      <c r="M71" s="2"/>
      <c r="N71" s="2"/>
      <c r="O71" s="2"/>
      <c r="P71" s="2"/>
      <c r="Q71" s="2"/>
      <c r="R71" s="2"/>
      <c r="S71" s="2"/>
      <c r="T71" s="3"/>
    </row>
    <row r="72" spans="2:20" ht="14.1" customHeight="1">
      <c r="B72" s="2"/>
      <c r="C72" s="2"/>
      <c r="D72" s="2"/>
      <c r="E72" s="2"/>
      <c r="F72" s="2"/>
      <c r="G72" s="2"/>
      <c r="H72" s="2"/>
      <c r="I72" s="2"/>
      <c r="J72" s="2"/>
      <c r="K72" s="2"/>
      <c r="L72" s="2"/>
      <c r="M72" s="2"/>
      <c r="N72" s="2"/>
      <c r="O72" s="2"/>
      <c r="P72" s="2"/>
      <c r="Q72" s="2"/>
      <c r="R72" s="2"/>
      <c r="S72" s="2"/>
      <c r="T72" s="3"/>
    </row>
    <row r="73" spans="2:20" ht="14.1" customHeight="1">
      <c r="B73" s="2"/>
      <c r="C73" s="2"/>
      <c r="D73" s="2"/>
      <c r="E73" s="2"/>
      <c r="F73" s="2"/>
      <c r="G73" s="2"/>
      <c r="H73" s="2"/>
      <c r="I73" s="2"/>
      <c r="J73" s="2"/>
      <c r="K73" s="2"/>
      <c r="L73" s="2"/>
      <c r="M73" s="2"/>
      <c r="N73" s="2"/>
      <c r="O73" s="2"/>
      <c r="P73" s="2"/>
      <c r="Q73" s="2"/>
      <c r="R73" s="2"/>
      <c r="S73" s="2"/>
      <c r="T73" s="3"/>
    </row>
    <row r="74" spans="2:20" ht="14.1" customHeight="1">
      <c r="B74" s="2"/>
      <c r="C74" s="2"/>
      <c r="D74" s="2"/>
      <c r="E74" s="2"/>
      <c r="F74" s="2"/>
      <c r="G74" s="2"/>
      <c r="H74" s="2"/>
      <c r="I74" s="2"/>
      <c r="J74" s="2"/>
      <c r="K74" s="2"/>
      <c r="L74" s="2"/>
      <c r="M74" s="2"/>
      <c r="N74" s="2"/>
      <c r="O74" s="2"/>
      <c r="P74" s="2"/>
      <c r="Q74" s="2"/>
      <c r="R74" s="2"/>
      <c r="S74" s="2"/>
      <c r="T74" s="3"/>
    </row>
    <row r="75" spans="2:20" ht="14.1" customHeight="1">
      <c r="B75" s="2"/>
      <c r="C75" s="2"/>
      <c r="D75" s="2"/>
      <c r="E75" s="2"/>
      <c r="F75" s="2"/>
      <c r="G75" s="2"/>
      <c r="H75" s="2"/>
      <c r="I75" s="2"/>
      <c r="J75" s="2"/>
      <c r="K75" s="2"/>
      <c r="L75" s="2"/>
      <c r="M75" s="2"/>
      <c r="N75" s="2"/>
      <c r="O75" s="2"/>
      <c r="P75" s="2"/>
      <c r="Q75" s="2"/>
      <c r="R75" s="2"/>
      <c r="S75" s="2"/>
      <c r="T75" s="3"/>
    </row>
    <row r="76" spans="2:20" ht="14.1" customHeight="1">
      <c r="B76" s="2"/>
      <c r="C76" s="2"/>
      <c r="D76" s="2"/>
      <c r="E76" s="2"/>
      <c r="F76" s="2"/>
      <c r="G76" s="2"/>
      <c r="H76" s="2"/>
      <c r="I76" s="2"/>
      <c r="J76" s="2"/>
      <c r="K76" s="2"/>
      <c r="L76" s="2"/>
      <c r="M76" s="2"/>
      <c r="N76" s="2"/>
      <c r="O76" s="2"/>
      <c r="P76" s="2"/>
      <c r="Q76" s="2"/>
      <c r="R76" s="2"/>
      <c r="S76" s="2"/>
      <c r="T76" s="3"/>
    </row>
    <row r="77" spans="2:20" ht="14.1" customHeight="1">
      <c r="B77" s="2"/>
      <c r="C77" s="2"/>
      <c r="D77" s="2"/>
      <c r="E77" s="2"/>
      <c r="F77" s="2"/>
      <c r="G77" s="2"/>
      <c r="H77" s="2"/>
      <c r="I77" s="2"/>
      <c r="J77" s="2"/>
      <c r="K77" s="2"/>
      <c r="L77" s="2"/>
      <c r="M77" s="2"/>
      <c r="N77" s="2"/>
      <c r="O77" s="2"/>
      <c r="P77" s="2"/>
      <c r="Q77" s="2"/>
      <c r="R77" s="2"/>
      <c r="S77" s="2"/>
      <c r="T77" s="3"/>
    </row>
    <row r="78" spans="2:20" ht="14.1" customHeight="1">
      <c r="B78" s="2"/>
      <c r="C78" s="2"/>
      <c r="D78" s="2"/>
      <c r="E78" s="2"/>
      <c r="F78" s="2"/>
      <c r="G78" s="2"/>
      <c r="H78" s="2"/>
      <c r="I78" s="2"/>
      <c r="J78" s="2"/>
      <c r="K78" s="2"/>
      <c r="L78" s="2"/>
      <c r="M78" s="2"/>
      <c r="N78" s="2"/>
      <c r="O78" s="2"/>
      <c r="P78" s="2"/>
      <c r="Q78" s="2"/>
      <c r="R78" s="2"/>
      <c r="S78" s="2"/>
      <c r="T78" s="3"/>
    </row>
    <row r="79" spans="2:20" ht="14.1" customHeight="1">
      <c r="B79" s="2"/>
      <c r="C79" s="2"/>
      <c r="D79" s="2"/>
      <c r="E79" s="2"/>
      <c r="F79" s="2"/>
      <c r="G79" s="2"/>
      <c r="H79" s="2"/>
      <c r="I79" s="2"/>
      <c r="J79" s="2"/>
      <c r="K79" s="2"/>
      <c r="L79" s="2"/>
      <c r="M79" s="2"/>
      <c r="N79" s="2"/>
      <c r="O79" s="2"/>
      <c r="P79" s="2"/>
      <c r="Q79" s="2"/>
      <c r="R79" s="2"/>
      <c r="S79" s="2"/>
      <c r="T79" s="3"/>
    </row>
    <row r="80" spans="2:20" ht="14.1" customHeight="1">
      <c r="B80" s="2"/>
      <c r="C80" s="2"/>
      <c r="D80" s="2"/>
      <c r="E80" s="2"/>
      <c r="F80" s="2"/>
      <c r="G80" s="2"/>
      <c r="H80" s="2"/>
      <c r="I80" s="2"/>
      <c r="J80" s="2"/>
      <c r="K80" s="2"/>
      <c r="L80" s="2"/>
      <c r="M80" s="2"/>
      <c r="N80" s="2"/>
      <c r="O80" s="2"/>
      <c r="P80" s="2"/>
      <c r="Q80" s="2"/>
      <c r="R80" s="2"/>
      <c r="S80" s="2"/>
      <c r="T80" s="3"/>
    </row>
    <row r="81" spans="2:20" ht="14.1" customHeight="1">
      <c r="B81" s="2"/>
      <c r="C81" s="2"/>
      <c r="D81" s="2"/>
      <c r="E81" s="2"/>
      <c r="F81" s="2"/>
      <c r="G81" s="2"/>
      <c r="H81" s="2"/>
      <c r="I81" s="2"/>
      <c r="J81" s="2"/>
      <c r="K81" s="2"/>
      <c r="L81" s="2"/>
      <c r="M81" s="2"/>
      <c r="N81" s="2"/>
      <c r="O81" s="2"/>
      <c r="P81" s="2"/>
      <c r="Q81" s="2"/>
      <c r="R81" s="2"/>
      <c r="S81" s="2"/>
      <c r="T81" s="3"/>
    </row>
    <row r="82" spans="2:20" ht="14.1" customHeight="1">
      <c r="B82" s="2"/>
      <c r="C82" s="2"/>
      <c r="D82" s="2"/>
      <c r="E82" s="2"/>
      <c r="F82" s="2"/>
      <c r="G82" s="2"/>
      <c r="H82" s="2"/>
      <c r="I82" s="2"/>
      <c r="J82" s="2"/>
      <c r="K82" s="2"/>
      <c r="L82" s="2"/>
      <c r="M82" s="2"/>
      <c r="N82" s="2"/>
      <c r="O82" s="2"/>
      <c r="P82" s="2"/>
      <c r="Q82" s="2"/>
      <c r="R82" s="2"/>
      <c r="S82" s="2"/>
      <c r="T82" s="3"/>
    </row>
    <row r="83" spans="2:20" ht="14.1" customHeight="1">
      <c r="B83" s="2"/>
      <c r="C83" s="2"/>
      <c r="D83" s="2"/>
      <c r="E83" s="2"/>
      <c r="F83" s="2"/>
      <c r="G83" s="2"/>
      <c r="H83" s="2"/>
      <c r="I83" s="2"/>
      <c r="J83" s="2"/>
      <c r="K83" s="2"/>
      <c r="L83" s="2"/>
      <c r="M83" s="2"/>
      <c r="N83" s="2"/>
      <c r="O83" s="2"/>
      <c r="P83" s="2"/>
      <c r="Q83" s="2"/>
      <c r="R83" s="2"/>
      <c r="S83" s="2"/>
      <c r="T83" s="3"/>
    </row>
    <row r="84" spans="2:20" ht="14.1" customHeight="1">
      <c r="B84" s="2"/>
      <c r="C84" s="2"/>
      <c r="D84" s="2"/>
      <c r="E84" s="2"/>
      <c r="F84" s="2"/>
      <c r="G84" s="2"/>
      <c r="H84" s="2"/>
      <c r="I84" s="2"/>
      <c r="J84" s="2"/>
      <c r="K84" s="2"/>
      <c r="L84" s="2"/>
      <c r="M84" s="2"/>
      <c r="N84" s="2"/>
      <c r="O84" s="2"/>
      <c r="P84" s="2"/>
      <c r="Q84" s="2"/>
      <c r="R84" s="2"/>
      <c r="S84" s="2"/>
      <c r="T84" s="3"/>
    </row>
    <row r="85" spans="2:20" ht="14.1" customHeight="1">
      <c r="B85" s="2"/>
      <c r="C85" s="2"/>
      <c r="D85" s="2"/>
      <c r="E85" s="2"/>
      <c r="F85" s="2"/>
      <c r="G85" s="2"/>
      <c r="H85" s="2"/>
      <c r="I85" s="2"/>
      <c r="J85" s="2"/>
      <c r="K85" s="2"/>
      <c r="L85" s="2"/>
      <c r="M85" s="2"/>
      <c r="N85" s="2"/>
      <c r="O85" s="2"/>
      <c r="P85" s="2"/>
      <c r="Q85" s="2"/>
      <c r="R85" s="2"/>
      <c r="S85" s="2"/>
      <c r="T85" s="3"/>
    </row>
    <row r="86" spans="2:20" ht="14.1" customHeight="1">
      <c r="B86" s="2"/>
      <c r="C86" s="2"/>
      <c r="D86" s="2"/>
      <c r="E86" s="2"/>
      <c r="F86" s="2"/>
      <c r="G86" s="2"/>
      <c r="H86" s="2"/>
      <c r="I86" s="2"/>
      <c r="J86" s="2"/>
      <c r="K86" s="2"/>
      <c r="L86" s="2"/>
      <c r="M86" s="2"/>
      <c r="N86" s="2"/>
      <c r="O86" s="2"/>
      <c r="P86" s="2"/>
      <c r="Q86" s="2"/>
      <c r="R86" s="2"/>
      <c r="S86" s="2"/>
      <c r="T86" s="3"/>
    </row>
    <row r="87" spans="2:20" ht="14.1" customHeight="1">
      <c r="B87" s="2"/>
      <c r="C87" s="2"/>
      <c r="D87" s="2"/>
      <c r="E87" s="2"/>
      <c r="F87" s="2"/>
      <c r="G87" s="2"/>
      <c r="H87" s="2"/>
      <c r="I87" s="2"/>
      <c r="J87" s="2"/>
      <c r="K87" s="2"/>
      <c r="L87" s="2"/>
      <c r="M87" s="2"/>
      <c r="N87" s="2"/>
      <c r="O87" s="2"/>
      <c r="P87" s="2"/>
      <c r="Q87" s="2"/>
      <c r="R87" s="2"/>
      <c r="S87" s="2"/>
      <c r="T87" s="3"/>
    </row>
    <row r="88" spans="2:20" ht="14.1" customHeight="1">
      <c r="B88" s="2"/>
      <c r="C88" s="2"/>
      <c r="D88" s="2"/>
      <c r="E88" s="2"/>
      <c r="F88" s="2"/>
      <c r="G88" s="2"/>
      <c r="H88" s="2"/>
      <c r="I88" s="2"/>
      <c r="J88" s="2"/>
      <c r="K88" s="2"/>
      <c r="L88" s="2"/>
      <c r="M88" s="2"/>
      <c r="N88" s="2"/>
      <c r="O88" s="2"/>
      <c r="P88" s="2"/>
      <c r="Q88" s="2"/>
      <c r="R88" s="2"/>
      <c r="S88" s="2"/>
      <c r="T88" s="3"/>
    </row>
    <row r="89" spans="2:20" ht="14.1" customHeight="1">
      <c r="B89" s="2"/>
      <c r="C89" s="2"/>
      <c r="D89" s="2"/>
      <c r="E89" s="2"/>
      <c r="F89" s="2"/>
      <c r="G89" s="2"/>
      <c r="H89" s="2"/>
      <c r="I89" s="2"/>
      <c r="J89" s="2"/>
      <c r="K89" s="2"/>
      <c r="L89" s="2"/>
      <c r="M89" s="2"/>
      <c r="N89" s="2"/>
      <c r="O89" s="2"/>
      <c r="P89" s="2"/>
      <c r="Q89" s="2"/>
      <c r="R89" s="2"/>
      <c r="S89" s="2"/>
      <c r="T89" s="3"/>
    </row>
    <row r="90" spans="2:20" ht="14.1" customHeight="1">
      <c r="B90" s="2"/>
      <c r="C90" s="2"/>
      <c r="D90" s="2"/>
      <c r="E90" s="2"/>
      <c r="F90" s="2"/>
      <c r="G90" s="2"/>
      <c r="H90" s="2"/>
      <c r="I90" s="2"/>
      <c r="J90" s="2"/>
      <c r="K90" s="2"/>
      <c r="L90" s="2"/>
      <c r="M90" s="2"/>
      <c r="N90" s="2"/>
      <c r="O90" s="2"/>
      <c r="P90" s="2"/>
      <c r="Q90" s="2"/>
      <c r="R90" s="2"/>
      <c r="S90" s="2"/>
      <c r="T90" s="3"/>
    </row>
    <row r="91" spans="2:20" ht="14.1" customHeight="1">
      <c r="B91" s="2"/>
      <c r="C91" s="2"/>
      <c r="D91" s="2"/>
      <c r="E91" s="2"/>
      <c r="F91" s="2"/>
      <c r="G91" s="2"/>
      <c r="H91" s="2"/>
      <c r="I91" s="2"/>
      <c r="J91" s="2"/>
      <c r="K91" s="2"/>
      <c r="L91" s="2"/>
      <c r="M91" s="2"/>
      <c r="N91" s="2"/>
      <c r="O91" s="2"/>
      <c r="P91" s="2"/>
      <c r="Q91" s="2"/>
      <c r="R91" s="2"/>
      <c r="S91" s="2"/>
      <c r="T91" s="3"/>
    </row>
    <row r="92" spans="2:20" ht="14.1" customHeight="1">
      <c r="B92" s="2"/>
      <c r="C92" s="2"/>
      <c r="D92" s="2"/>
      <c r="E92" s="2"/>
      <c r="F92" s="2"/>
      <c r="G92" s="2"/>
      <c r="H92" s="2"/>
      <c r="I92" s="2"/>
      <c r="J92" s="2"/>
      <c r="K92" s="2"/>
      <c r="L92" s="2"/>
      <c r="M92" s="2"/>
      <c r="N92" s="2"/>
      <c r="O92" s="2"/>
      <c r="P92" s="2"/>
      <c r="Q92" s="2"/>
      <c r="R92" s="2"/>
      <c r="S92" s="2"/>
      <c r="T92" s="3"/>
    </row>
    <row r="93" spans="2:20" ht="14.1" customHeight="1">
      <c r="B93" s="2"/>
      <c r="C93" s="2"/>
      <c r="D93" s="2"/>
      <c r="E93" s="2"/>
      <c r="F93" s="2"/>
      <c r="G93" s="2"/>
      <c r="H93" s="2"/>
      <c r="I93" s="2"/>
      <c r="J93" s="2"/>
      <c r="K93" s="2"/>
      <c r="L93" s="2"/>
      <c r="M93" s="2"/>
      <c r="N93" s="2"/>
      <c r="O93" s="2"/>
      <c r="P93" s="2"/>
      <c r="Q93" s="2"/>
      <c r="R93" s="2"/>
      <c r="S93" s="2"/>
      <c r="T93" s="3"/>
    </row>
    <row r="94" spans="2:20" ht="14.1" customHeight="1">
      <c r="B94" s="2"/>
      <c r="C94" s="2"/>
      <c r="D94" s="2"/>
      <c r="E94" s="2"/>
      <c r="F94" s="2"/>
      <c r="G94" s="2"/>
      <c r="H94" s="2"/>
      <c r="I94" s="2"/>
      <c r="J94" s="2"/>
      <c r="K94" s="2"/>
      <c r="L94" s="2"/>
      <c r="M94" s="2"/>
      <c r="N94" s="2"/>
      <c r="O94" s="2"/>
      <c r="P94" s="2"/>
      <c r="Q94" s="2"/>
      <c r="R94" s="2"/>
      <c r="S94" s="2"/>
      <c r="T94" s="3"/>
    </row>
    <row r="95" spans="2:20" ht="14.1" customHeight="1">
      <c r="B95" s="2"/>
      <c r="C95" s="2"/>
      <c r="D95" s="2"/>
      <c r="E95" s="2"/>
      <c r="F95" s="2"/>
      <c r="G95" s="2"/>
      <c r="H95" s="2"/>
      <c r="I95" s="2"/>
      <c r="J95" s="2"/>
      <c r="K95" s="2"/>
      <c r="L95" s="2"/>
      <c r="M95" s="2"/>
      <c r="N95" s="2"/>
      <c r="O95" s="2"/>
      <c r="P95" s="2"/>
      <c r="Q95" s="2"/>
      <c r="R95" s="2"/>
      <c r="S95" s="2"/>
      <c r="T95" s="3"/>
    </row>
    <row r="96" spans="2:20" ht="14.1" customHeight="1">
      <c r="B96" s="2"/>
      <c r="C96" s="2"/>
      <c r="D96" s="2"/>
      <c r="E96" s="2"/>
      <c r="F96" s="2"/>
      <c r="G96" s="2"/>
      <c r="H96" s="2"/>
      <c r="I96" s="2"/>
      <c r="J96" s="2"/>
      <c r="K96" s="2"/>
      <c r="L96" s="2"/>
      <c r="M96" s="2"/>
      <c r="N96" s="2"/>
      <c r="O96" s="2"/>
      <c r="P96" s="2"/>
      <c r="Q96" s="2"/>
      <c r="R96" s="2"/>
      <c r="S96" s="2"/>
      <c r="T96" s="3"/>
    </row>
    <row r="97" spans="2:20" ht="14.1" customHeight="1">
      <c r="B97" s="3"/>
      <c r="C97" s="3"/>
      <c r="D97" s="3"/>
      <c r="E97" s="3"/>
      <c r="F97" s="3"/>
      <c r="G97" s="3"/>
      <c r="H97" s="3"/>
      <c r="I97" s="3"/>
      <c r="J97" s="3"/>
      <c r="K97" s="3"/>
      <c r="L97" s="3"/>
      <c r="M97" s="3"/>
      <c r="N97" s="3"/>
      <c r="O97" s="3"/>
      <c r="P97" s="3"/>
      <c r="Q97" s="3"/>
      <c r="R97" s="3"/>
      <c r="S97" s="3"/>
      <c r="T97" s="3"/>
    </row>
    <row r="98" spans="2:20" ht="14.1" customHeight="1">
      <c r="T98" s="3"/>
    </row>
    <row r="99" spans="2:20" ht="14.1" customHeight="1">
      <c r="T99" s="3"/>
    </row>
    <row r="100" spans="2:20" ht="14.1" customHeight="1">
      <c r="T100" s="3"/>
    </row>
    <row r="101" spans="2:20" ht="14.1" customHeight="1">
      <c r="T101" s="3"/>
    </row>
    <row r="102" spans="2:20" ht="14.1" customHeight="1">
      <c r="T102" s="3"/>
    </row>
    <row r="103" spans="2:20" ht="14.1" customHeight="1">
      <c r="T103" s="3"/>
    </row>
    <row r="104" spans="2:20" ht="14.1" customHeight="1">
      <c r="T104" s="3"/>
    </row>
    <row r="105" spans="2:20" ht="14.1" customHeight="1">
      <c r="T105" s="3"/>
    </row>
    <row r="106" spans="2:20" ht="14.1" customHeight="1">
      <c r="T106" s="3"/>
    </row>
    <row r="107" spans="2:20" ht="14.1" customHeight="1">
      <c r="T107" s="3"/>
    </row>
    <row r="108" spans="2:20" ht="14.1" customHeight="1">
      <c r="T108" s="3"/>
    </row>
    <row r="109" spans="2:20" ht="14.1" customHeight="1">
      <c r="T109" s="3"/>
    </row>
    <row r="110" spans="2:20" ht="14.1" customHeight="1">
      <c r="T110" s="3"/>
    </row>
    <row r="111" spans="2:20" ht="14.1" customHeight="1">
      <c r="T111" s="3"/>
    </row>
    <row r="112" spans="2:20" ht="14.1" customHeight="1">
      <c r="T112" s="3"/>
    </row>
    <row r="113" spans="20:20" ht="14.1" customHeight="1">
      <c r="T113" s="3"/>
    </row>
    <row r="114" spans="20:20" ht="14.1" customHeight="1">
      <c r="T114" s="3"/>
    </row>
    <row r="115" spans="20:20" ht="14.1" customHeight="1">
      <c r="T115" s="3"/>
    </row>
    <row r="116" spans="20:20" ht="14.1" customHeight="1">
      <c r="T116" s="3"/>
    </row>
    <row r="117" spans="20:20" ht="14.1" customHeight="1">
      <c r="T117" s="21"/>
    </row>
  </sheetData>
  <sheetProtection sheet="1" objects="1" scenarios="1" selectLockedCells="1"/>
  <mergeCells count="8">
    <mergeCell ref="C32:Q32"/>
    <mergeCell ref="C17:H17"/>
    <mergeCell ref="J6:L6"/>
    <mergeCell ref="C12:H13"/>
    <mergeCell ref="B6:H6"/>
    <mergeCell ref="C9:I9"/>
    <mergeCell ref="C10:I10"/>
    <mergeCell ref="C11:I11"/>
  </mergeCells>
  <phoneticPr fontId="23" type="noConversion"/>
  <pageMargins left="0.78740157480314965" right="0.78740157480314965" top="0.59055118110236227" bottom="0.59055118110236227" header="0.51181102362204722" footer="0.31496062992125984"/>
  <pageSetup paperSize="9" scale="66" orientation="portrait" r:id="rId1"/>
  <headerFooter alignWithMargins="0">
    <oddFooter>&amp;L©AGRIDEA&amp;R04.2022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U49"/>
  <sheetViews>
    <sheetView showGridLines="0" showRowColHeaders="0" showZeros="0" zoomScaleNormal="100" workbookViewId="0">
      <selection activeCell="M9" sqref="M9"/>
    </sheetView>
  </sheetViews>
  <sheetFormatPr baseColWidth="10" defaultColWidth="11.42578125" defaultRowHeight="12.75"/>
  <cols>
    <col min="1" max="1" width="0.85546875" style="184" customWidth="1"/>
    <col min="2" max="2" width="1.5703125" style="184" customWidth="1"/>
    <col min="3" max="3" width="35.5703125" style="184" customWidth="1"/>
    <col min="4" max="4" width="7.85546875" style="184" customWidth="1"/>
    <col min="5" max="5" width="9.42578125" style="184" customWidth="1"/>
    <col min="6" max="6" width="11.42578125" style="184" customWidth="1"/>
    <col min="7" max="7" width="9" style="184" customWidth="1"/>
    <col min="8" max="8" width="7.5703125" style="184" customWidth="1"/>
    <col min="9" max="9" width="10.85546875" style="184" customWidth="1"/>
    <col min="10" max="10" width="2.5703125" style="184" customWidth="1"/>
    <col min="11" max="11" width="11.140625" style="184" customWidth="1"/>
    <col min="12" max="12" width="3.85546875" style="184" customWidth="1"/>
    <col min="13" max="13" width="14.140625" style="184" customWidth="1"/>
    <col min="14" max="14" width="3.42578125" style="184" customWidth="1"/>
    <col min="15" max="15" width="16.5703125" style="184" customWidth="1"/>
    <col min="16" max="16" width="2" style="184" customWidth="1"/>
    <col min="17" max="17" width="17.140625" style="184" customWidth="1"/>
    <col min="18" max="19" width="11.42578125" style="184"/>
    <col min="20" max="20" width="2.42578125" style="184" customWidth="1"/>
    <col min="21" max="16384" width="11.42578125" style="184"/>
  </cols>
  <sheetData>
    <row r="1" spans="1:20" ht="42" customHeight="1">
      <c r="B1" s="63"/>
      <c r="C1" s="182"/>
      <c r="D1" s="182"/>
      <c r="E1" s="183" t="str">
        <f>Texte!A73</f>
        <v>Calcul des paiements directs à partir de 2023</v>
      </c>
      <c r="G1" s="182"/>
      <c r="H1" s="182"/>
      <c r="I1" s="182"/>
      <c r="J1" s="182"/>
      <c r="K1" s="182"/>
      <c r="L1" s="182"/>
      <c r="M1" s="182"/>
      <c r="N1" s="182"/>
      <c r="O1" s="1" t="str">
        <f>Texte!A213</f>
        <v>Paiements directs 7</v>
      </c>
      <c r="P1" s="1"/>
      <c r="Q1" s="2"/>
      <c r="R1" s="2"/>
      <c r="S1" s="3"/>
      <c r="T1" s="3"/>
    </row>
    <row r="2" spans="1:20" s="21" customFormat="1" ht="11.1" customHeight="1" thickBot="1">
      <c r="B2" s="185"/>
      <c r="C2" s="185"/>
      <c r="D2" s="185"/>
      <c r="E2" s="185"/>
      <c r="F2" s="185"/>
      <c r="G2" s="185"/>
      <c r="H2" s="185"/>
      <c r="I2" s="185"/>
      <c r="J2" s="185"/>
      <c r="K2" s="185"/>
      <c r="L2" s="185"/>
      <c r="M2" s="185"/>
      <c r="N2" s="185"/>
      <c r="O2" s="4"/>
      <c r="P2" s="497"/>
      <c r="Q2" s="2"/>
      <c r="R2" s="2"/>
      <c r="S2" s="3"/>
      <c r="T2" s="3"/>
    </row>
    <row r="3" spans="1:20" s="181" customFormat="1" ht="21.95" customHeight="1">
      <c r="B3" s="176" t="str">
        <f>Texte!A178</f>
        <v>Exploitation:</v>
      </c>
      <c r="C3" s="177"/>
      <c r="D3" s="170">
        <f>'Paysage cultivé'!D3</f>
        <v>0</v>
      </c>
      <c r="E3" s="170"/>
      <c r="F3" s="170"/>
      <c r="G3" s="178"/>
      <c r="H3" s="179"/>
      <c r="I3" s="180"/>
      <c r="J3" s="173" t="str">
        <f>Texte!A294</f>
        <v>Variante:</v>
      </c>
      <c r="K3" s="171">
        <f>'Paysage cultivé'!K3</f>
        <v>0</v>
      </c>
      <c r="L3" s="172"/>
      <c r="M3" s="180"/>
      <c r="N3" s="173" t="str">
        <f>Texte!A53</f>
        <v>Année:</v>
      </c>
      <c r="O3" s="174">
        <f>'Paysage cultivé'!O3</f>
        <v>0</v>
      </c>
      <c r="P3" s="498"/>
      <c r="Q3" s="180"/>
      <c r="R3" s="180"/>
      <c r="S3" s="177"/>
      <c r="T3" s="177"/>
    </row>
    <row r="4" spans="1:20" ht="12.75" customHeight="1">
      <c r="B4" s="6"/>
      <c r="C4" s="2"/>
      <c r="D4" s="2"/>
      <c r="E4" s="2"/>
      <c r="F4" s="2"/>
      <c r="G4" s="2"/>
      <c r="H4" s="2"/>
      <c r="I4" s="2"/>
      <c r="J4" s="2"/>
      <c r="K4" s="2"/>
      <c r="L4" s="2"/>
      <c r="M4" s="2"/>
      <c r="N4" s="2"/>
      <c r="O4" s="2"/>
      <c r="P4" s="2"/>
      <c r="Q4" s="2"/>
      <c r="R4" s="2"/>
      <c r="S4" s="3"/>
      <c r="T4" s="3"/>
    </row>
    <row r="5" spans="1:20" ht="26.25" customHeight="1">
      <c r="B5" s="340" t="str">
        <f>Texte!A106</f>
        <v>Contribution de transition (CT, Art. 84 à 96 OPD)</v>
      </c>
      <c r="C5" s="17"/>
      <c r="D5" s="17"/>
      <c r="E5" s="17"/>
      <c r="F5" s="17"/>
      <c r="G5" s="17"/>
      <c r="H5" s="17"/>
      <c r="I5" s="17"/>
      <c r="J5" s="17"/>
      <c r="K5" s="17"/>
      <c r="L5" s="17"/>
      <c r="M5" s="17"/>
      <c r="N5" s="17"/>
      <c r="O5" s="17"/>
      <c r="P5" s="17"/>
      <c r="Q5" s="7"/>
      <c r="R5" s="7"/>
      <c r="S5" s="3"/>
      <c r="T5" s="3"/>
    </row>
    <row r="6" spans="1:20" ht="17.100000000000001" customHeight="1">
      <c r="B6" s="8"/>
      <c r="C6" s="65"/>
      <c r="D6" s="65"/>
      <c r="E6" s="65"/>
      <c r="F6" s="65"/>
      <c r="G6" s="65"/>
      <c r="H6" s="61"/>
      <c r="I6" s="110"/>
      <c r="J6" s="146"/>
      <c r="K6" s="110"/>
      <c r="L6" s="146"/>
      <c r="M6" s="110" t="str">
        <f>Texte!A253</f>
        <v>Sous-total</v>
      </c>
      <c r="N6" s="110"/>
      <c r="O6" s="147" t="str">
        <f>Texte!A282</f>
        <v>Total (Fr.)</v>
      </c>
      <c r="P6" s="23"/>
      <c r="Q6" s="2"/>
      <c r="R6" s="2"/>
      <c r="S6" s="3"/>
      <c r="T6" s="3"/>
    </row>
    <row r="7" spans="1:20" ht="17.100000000000001" customHeight="1">
      <c r="B7" s="119"/>
      <c r="C7" s="54"/>
      <c r="D7" s="54"/>
      <c r="E7" s="54"/>
      <c r="F7" s="54"/>
      <c r="G7" s="54"/>
      <c r="H7" s="17"/>
      <c r="I7" s="23"/>
      <c r="J7" s="38"/>
      <c r="K7" s="23"/>
      <c r="L7" s="38"/>
      <c r="M7" s="23"/>
      <c r="N7" s="23"/>
      <c r="O7" s="24"/>
      <c r="P7" s="23"/>
      <c r="Q7" s="2"/>
      <c r="R7" s="2"/>
      <c r="S7" s="3"/>
      <c r="T7" s="3"/>
    </row>
    <row r="8" spans="1:20" ht="17.100000000000001" customHeight="1">
      <c r="B8" s="12"/>
      <c r="C8" s="17"/>
      <c r="D8" s="17"/>
      <c r="E8" s="17"/>
      <c r="F8" s="17"/>
      <c r="G8" s="17"/>
      <c r="H8" s="11"/>
      <c r="I8" s="40"/>
      <c r="J8" s="54"/>
      <c r="K8" s="54"/>
      <c r="L8" s="206"/>
      <c r="M8" s="23"/>
      <c r="N8" s="726"/>
      <c r="O8" s="727"/>
      <c r="P8" s="494"/>
      <c r="Q8" s="11"/>
      <c r="R8" s="2"/>
      <c r="S8" s="2"/>
      <c r="T8" s="2"/>
    </row>
    <row r="9" spans="1:20" s="197" customFormat="1" ht="17.100000000000001" customHeight="1">
      <c r="B9" s="12"/>
      <c r="C9" s="17" t="str">
        <f>Texte!A67</f>
        <v>Valeur de base pour l'exploitation*</v>
      </c>
      <c r="D9" s="17"/>
      <c r="E9" s="17"/>
      <c r="F9" s="17"/>
      <c r="G9" s="17"/>
      <c r="H9" s="11"/>
      <c r="I9" s="17"/>
      <c r="J9" s="54"/>
      <c r="K9" s="54"/>
      <c r="L9" s="206" t="s">
        <v>141</v>
      </c>
      <c r="M9" s="325"/>
      <c r="N9" s="726"/>
      <c r="O9" s="727"/>
      <c r="P9" s="494"/>
      <c r="Q9" s="11"/>
      <c r="S9" s="54"/>
      <c r="T9" s="54"/>
    </row>
    <row r="10" spans="1:20" s="197" customFormat="1" ht="17.100000000000001" customHeight="1">
      <c r="B10" s="12"/>
      <c r="D10" s="17"/>
      <c r="E10" s="17"/>
      <c r="F10" s="17"/>
      <c r="G10" s="17"/>
      <c r="H10" s="11"/>
      <c r="I10" s="17"/>
      <c r="J10" s="54"/>
      <c r="K10" s="54"/>
      <c r="L10" s="206"/>
      <c r="M10" s="40"/>
      <c r="N10" s="23"/>
      <c r="O10" s="117"/>
      <c r="P10" s="118"/>
      <c r="Q10" s="11"/>
      <c r="S10" s="54"/>
      <c r="T10" s="54"/>
    </row>
    <row r="11" spans="1:20" s="186" customFormat="1" ht="17.100000000000001" customHeight="1">
      <c r="A11" s="182"/>
      <c r="B11" s="73"/>
      <c r="C11" s="17" t="str">
        <f>Texte!A237</f>
        <v>Coefficient d'ajustement (moyens disponibles totaux/ besoins totaux)</v>
      </c>
      <c r="D11" s="11"/>
      <c r="E11" s="11"/>
      <c r="F11" s="11"/>
      <c r="G11" s="11"/>
      <c r="H11" s="40"/>
      <c r="I11" s="235"/>
      <c r="J11" s="23"/>
      <c r="K11" s="139">
        <v>0.2</v>
      </c>
      <c r="L11" s="241"/>
      <c r="M11" s="40"/>
      <c r="N11" s="58"/>
      <c r="O11" s="57"/>
      <c r="P11" s="272"/>
    </row>
    <row r="12" spans="1:20" s="186" customFormat="1" ht="30" customHeight="1">
      <c r="A12" s="182"/>
      <c r="B12" s="73"/>
      <c r="C12" s="729" t="str">
        <f>Texte!A504</f>
        <v>Le facteur pour la contribution de transition va probablement augmenter en 2023 et se monter à environ 0.2 à 0.25, puis il devrait de nouveau diminuer, en fonction de la participation aux nouveaux programmes</v>
      </c>
      <c r="D12" s="729"/>
      <c r="E12" s="729"/>
      <c r="F12" s="729"/>
      <c r="G12" s="729"/>
      <c r="H12" s="729"/>
      <c r="I12" s="729"/>
      <c r="J12" s="729"/>
      <c r="K12" s="40"/>
      <c r="L12" s="58"/>
      <c r="M12" s="40"/>
      <c r="N12" s="58"/>
      <c r="O12" s="57"/>
      <c r="P12" s="272"/>
    </row>
    <row r="13" spans="1:20" ht="17.100000000000001" customHeight="1">
      <c r="A13" s="182"/>
      <c r="B13" s="73"/>
      <c r="C13" s="17" t="str">
        <f>Texte!A107</f>
        <v>Calcul de la contribution de transition</v>
      </c>
      <c r="D13" s="11"/>
      <c r="E13" s="11"/>
      <c r="F13" s="11"/>
      <c r="G13" s="11"/>
      <c r="H13" s="40"/>
      <c r="I13" s="47"/>
      <c r="J13" s="32"/>
      <c r="K13" s="242">
        <f>K11</f>
        <v>0.2</v>
      </c>
      <c r="L13" s="55" t="s">
        <v>140</v>
      </c>
      <c r="M13" s="39">
        <f>M9</f>
        <v>0</v>
      </c>
      <c r="N13" s="56" t="str">
        <f>L9</f>
        <v>=</v>
      </c>
      <c r="O13" s="52">
        <f>K13*M13</f>
        <v>0</v>
      </c>
      <c r="P13" s="118"/>
    </row>
    <row r="14" spans="1:20" ht="17.100000000000001" customHeight="1">
      <c r="A14" s="182"/>
      <c r="B14" s="73"/>
      <c r="C14" s="17"/>
      <c r="D14" s="11"/>
      <c r="E14" s="11"/>
      <c r="F14" s="11"/>
      <c r="G14" s="11"/>
      <c r="H14" s="40"/>
      <c r="I14" s="47"/>
      <c r="J14" s="32"/>
      <c r="K14" s="47"/>
      <c r="L14" s="55"/>
      <c r="M14" s="47"/>
      <c r="N14" s="56"/>
      <c r="O14" s="117"/>
      <c r="P14" s="118"/>
    </row>
    <row r="15" spans="1:20" ht="17.100000000000001" customHeight="1">
      <c r="A15" s="182"/>
      <c r="B15" s="73"/>
      <c r="C15" s="17" t="str">
        <f>Texte!A239</f>
        <v>Réduction pour revenu imposable de Fr.**</v>
      </c>
      <c r="D15" s="11"/>
      <c r="E15" s="11"/>
      <c r="F15" s="11"/>
      <c r="G15" s="11"/>
      <c r="H15" s="40"/>
      <c r="I15" s="47"/>
      <c r="J15" s="32"/>
      <c r="K15" s="47"/>
      <c r="L15" s="55"/>
      <c r="M15" s="47"/>
      <c r="N15" s="111" t="s">
        <v>36</v>
      </c>
      <c r="O15" s="126">
        <f>Limitations!N54</f>
        <v>0</v>
      </c>
      <c r="P15" s="499"/>
    </row>
    <row r="16" spans="1:20" ht="17.100000000000001" customHeight="1">
      <c r="A16" s="182"/>
      <c r="B16" s="73"/>
      <c r="C16" s="17" t="str">
        <f>Texte!A238</f>
        <v>Réduction pour fortune déterminante de Fr.**</v>
      </c>
      <c r="D16" s="11"/>
      <c r="E16" s="11"/>
      <c r="F16" s="11"/>
      <c r="G16" s="11"/>
      <c r="H16" s="40"/>
      <c r="I16" s="47"/>
      <c r="J16" s="32"/>
      <c r="K16" s="47"/>
      <c r="L16" s="55"/>
      <c r="M16" s="47"/>
      <c r="N16" s="111" t="s">
        <v>36</v>
      </c>
      <c r="O16" s="126">
        <f>IF(Limitations!H62&gt;1000000,Limitations!N66,Limitations!N65)</f>
        <v>0</v>
      </c>
      <c r="P16" s="499"/>
    </row>
    <row r="17" spans="1:21" ht="17.100000000000001" customHeight="1">
      <c r="A17" s="182"/>
      <c r="B17" s="73"/>
      <c r="C17" s="17"/>
      <c r="D17" s="11"/>
      <c r="E17" s="11"/>
      <c r="F17" s="11"/>
      <c r="G17" s="11"/>
      <c r="H17" s="40"/>
      <c r="I17" s="47"/>
      <c r="J17" s="32"/>
      <c r="K17" s="47"/>
      <c r="L17" s="55"/>
      <c r="M17" s="47"/>
      <c r="N17" s="111"/>
      <c r="O17" s="155"/>
      <c r="P17" s="154"/>
    </row>
    <row r="18" spans="1:21" ht="17.100000000000001" customHeight="1">
      <c r="A18" s="182"/>
      <c r="B18" s="73"/>
      <c r="C18" s="338" t="str">
        <f>Texte!A68</f>
        <v>* Montant communiqué par votre canton (décembre 2014) sur le décompte final des paiements directs</v>
      </c>
      <c r="D18" s="11"/>
      <c r="E18" s="11"/>
      <c r="F18" s="11"/>
      <c r="G18" s="11"/>
      <c r="H18" s="40"/>
      <c r="I18" s="47"/>
      <c r="J18" s="32"/>
      <c r="K18" s="47"/>
      <c r="L18" s="55"/>
      <c r="M18" s="47"/>
      <c r="N18" s="111"/>
      <c r="O18" s="155"/>
      <c r="P18" s="154"/>
      <c r="Q18" s="182"/>
    </row>
    <row r="19" spans="1:21" s="186" customFormat="1" ht="18" customHeight="1">
      <c r="A19" s="182"/>
      <c r="B19" s="9"/>
      <c r="C19" s="55" t="str">
        <f>Texte!A373</f>
        <v>** Voir feuille "limitations"</v>
      </c>
      <c r="D19" s="11"/>
      <c r="E19" s="11"/>
      <c r="F19" s="11"/>
      <c r="G19" s="11"/>
      <c r="H19" s="11"/>
      <c r="I19" s="11"/>
      <c r="J19" s="11"/>
      <c r="K19" s="11"/>
      <c r="L19" s="11"/>
      <c r="M19" s="11"/>
      <c r="N19" s="11"/>
      <c r="O19" s="57"/>
      <c r="P19" s="272"/>
      <c r="Q19" s="15"/>
    </row>
    <row r="20" spans="1:21" s="186" customFormat="1" ht="30" customHeight="1">
      <c r="B20" s="145" t="str">
        <f>Texte!A108</f>
        <v>Contribution de transition versée</v>
      </c>
      <c r="C20" s="54"/>
      <c r="D20" s="54"/>
      <c r="E20" s="54"/>
      <c r="F20" s="54"/>
      <c r="G20" s="54"/>
      <c r="H20" s="54"/>
      <c r="I20" s="54"/>
      <c r="J20" s="54"/>
      <c r="K20" s="54"/>
      <c r="L20" s="54"/>
      <c r="M20" s="54"/>
      <c r="N20" s="17"/>
      <c r="O20" s="191">
        <f>IF(O13-O15-O16&gt;0,O13-O15-O16,0)</f>
        <v>0</v>
      </c>
      <c r="P20" s="274"/>
      <c r="Q20" s="15"/>
      <c r="R20" s="15"/>
      <c r="S20" s="16"/>
      <c r="T20" s="16"/>
    </row>
    <row r="21" spans="1:21" s="186" customFormat="1" ht="6" customHeight="1">
      <c r="B21" s="20"/>
      <c r="C21" s="17"/>
      <c r="D21" s="17"/>
      <c r="E21" s="17"/>
      <c r="F21" s="17"/>
      <c r="G21" s="17"/>
      <c r="H21" s="11"/>
      <c r="I21" s="11"/>
      <c r="J21" s="11"/>
      <c r="K21" s="17"/>
      <c r="L21" s="17"/>
      <c r="M21" s="17"/>
      <c r="N21" s="17"/>
      <c r="O21" s="140"/>
      <c r="P21" s="116"/>
      <c r="Q21" s="15"/>
      <c r="R21" s="15"/>
      <c r="S21" s="16"/>
      <c r="T21" s="16"/>
    </row>
    <row r="22" spans="1:21" s="186" customFormat="1" ht="4.3499999999999996" customHeight="1">
      <c r="B22" s="192"/>
      <c r="C22" s="193"/>
      <c r="D22" s="193"/>
      <c r="E22" s="193"/>
      <c r="F22" s="193"/>
      <c r="G22" s="193"/>
      <c r="H22" s="193"/>
      <c r="I22" s="193"/>
      <c r="J22" s="193"/>
      <c r="K22" s="193"/>
      <c r="L22" s="193"/>
      <c r="M22" s="193"/>
      <c r="N22" s="193"/>
      <c r="O22" s="194"/>
      <c r="P22" s="54"/>
      <c r="Q22" s="15"/>
      <c r="R22" s="15"/>
      <c r="S22" s="16"/>
      <c r="T22" s="16"/>
    </row>
    <row r="23" spans="1:21" ht="17.100000000000001" customHeight="1">
      <c r="B23" s="197"/>
      <c r="C23" s="197"/>
      <c r="D23" s="197"/>
      <c r="E23" s="197"/>
      <c r="F23" s="197"/>
      <c r="G23" s="197"/>
      <c r="H23" s="197"/>
      <c r="I23" s="197"/>
      <c r="J23" s="197"/>
      <c r="K23" s="197"/>
      <c r="L23" s="197"/>
      <c r="M23" s="197"/>
      <c r="N23" s="197"/>
      <c r="O23" s="197"/>
      <c r="P23" s="197"/>
      <c r="Q23" s="7"/>
      <c r="R23" s="7"/>
      <c r="S23" s="3"/>
      <c r="T23" s="3"/>
    </row>
    <row r="24" spans="1:21" ht="18">
      <c r="B24" s="207" t="str">
        <f>Texte!A236</f>
        <v>Récapitulation des paiements directs et contributions</v>
      </c>
      <c r="D24" s="197"/>
      <c r="E24" s="197"/>
      <c r="F24" s="197"/>
      <c r="G24" s="197"/>
      <c r="H24" s="197"/>
      <c r="I24" s="197"/>
      <c r="J24" s="197"/>
      <c r="K24" s="197"/>
      <c r="L24" s="197"/>
      <c r="M24" s="197"/>
      <c r="N24" s="208"/>
      <c r="O24" s="197"/>
      <c r="P24" s="197"/>
      <c r="Q24" s="510" t="str">
        <f>Texte!A473</f>
        <v>Récapitulation</v>
      </c>
      <c r="R24" s="510" t="str">
        <f>Texte!A472</f>
        <v>Contrib. sur l'exploitation d'estivage</v>
      </c>
      <c r="S24" s="510"/>
      <c r="T24" s="510"/>
      <c r="U24" s="510"/>
    </row>
    <row r="25" spans="1:21" s="247" customFormat="1" ht="27" customHeight="1">
      <c r="B25" s="350"/>
      <c r="C25" s="728" t="str">
        <f>Texte!A114</f>
        <v>Contributions au paysage cultivé (CPC, Art. 42 à 49 et Annexe 7 OPD)</v>
      </c>
      <c r="D25" s="728"/>
      <c r="E25" s="728"/>
      <c r="F25" s="728"/>
      <c r="G25" s="728"/>
      <c r="H25" s="728"/>
      <c r="I25" s="728"/>
      <c r="J25" s="240"/>
      <c r="K25" s="240" t="str">
        <f>Texte!A240</f>
        <v>report paiements directs 1</v>
      </c>
      <c r="L25" s="240"/>
      <c r="M25" s="240"/>
      <c r="N25" s="245"/>
      <c r="O25" s="246">
        <f>'Paysage cultivé'!O68</f>
        <v>0</v>
      </c>
      <c r="P25" s="500"/>
      <c r="Q25" s="506" t="str">
        <f>Texte!A475</f>
        <v>Contribution d'estivage</v>
      </c>
      <c r="R25" s="507"/>
      <c r="S25" s="507"/>
      <c r="T25" s="212"/>
      <c r="U25" s="513">
        <f>'Paysage cultivé'!O64</f>
        <v>0</v>
      </c>
    </row>
    <row r="26" spans="1:21" ht="27" customHeight="1">
      <c r="B26" s="351"/>
      <c r="C26" s="717" t="str">
        <f>Texte!A92</f>
        <v>Contributions à la sécurité de l'approvisionnement (CSA, Art. 50 à 54 et Annexe 7 OPD)</v>
      </c>
      <c r="D26" s="717"/>
      <c r="E26" s="717"/>
      <c r="F26" s="717"/>
      <c r="G26" s="717"/>
      <c r="H26" s="717"/>
      <c r="I26" s="717"/>
      <c r="J26" s="17"/>
      <c r="K26" s="143" t="str">
        <f>Texte!A241</f>
        <v>report paiements directs 2</v>
      </c>
      <c r="L26" s="143"/>
      <c r="M26" s="143"/>
      <c r="N26" s="237" t="s">
        <v>57</v>
      </c>
      <c r="O26" s="238">
        <f>Sécurité!Q64</f>
        <v>0</v>
      </c>
      <c r="P26" s="500"/>
      <c r="Q26" s="508"/>
      <c r="R26" s="509"/>
      <c r="S26" s="509"/>
      <c r="T26" s="182"/>
      <c r="U26" s="504"/>
    </row>
    <row r="27" spans="1:21" ht="27" customHeight="1">
      <c r="B27" s="351"/>
      <c r="C27" s="717" t="str">
        <f>Texte!A98</f>
        <v>Contributions à la biodiversité (CBD, Art. 55 à 60 et Annexe 7 OPD)</v>
      </c>
      <c r="D27" s="717"/>
      <c r="E27" s="717"/>
      <c r="F27" s="717"/>
      <c r="G27" s="717"/>
      <c r="H27" s="717"/>
      <c r="I27" s="717"/>
      <c r="J27" s="17"/>
      <c r="K27" s="143" t="str">
        <f>Texte!A242</f>
        <v>report paiements directs 3</v>
      </c>
      <c r="L27" s="143"/>
      <c r="M27" s="143"/>
      <c r="N27" s="237" t="s">
        <v>57</v>
      </c>
      <c r="O27" s="238">
        <f>Biodiversité!O72</f>
        <v>0</v>
      </c>
      <c r="P27" s="500"/>
      <c r="Q27" s="715" t="str">
        <f>Texte!A477</f>
        <v>Contrib. herbages et surfaces à litière riches en espèces de la région d'estivage</v>
      </c>
      <c r="R27" s="716"/>
      <c r="S27" s="716"/>
      <c r="T27" s="511" t="s">
        <v>57</v>
      </c>
      <c r="U27" s="514">
        <f>Biodiversité!M37</f>
        <v>0</v>
      </c>
    </row>
    <row r="28" spans="1:21" ht="27" customHeight="1">
      <c r="B28" s="351"/>
      <c r="C28" s="717" t="str">
        <f>Texte!A104</f>
        <v>Contribution à la qualité du paysage (CQP, Art. 63 et 64 et Annexe 7 OPD)</v>
      </c>
      <c r="D28" s="717"/>
      <c r="E28" s="717"/>
      <c r="F28" s="717"/>
      <c r="G28" s="717"/>
      <c r="H28" s="717"/>
      <c r="I28" s="717"/>
      <c r="J28" s="17"/>
      <c r="K28" s="143" t="str">
        <f>Texte!A243</f>
        <v>report paiements directs 4</v>
      </c>
      <c r="L28" s="143"/>
      <c r="M28" s="143"/>
      <c r="N28" s="237" t="s">
        <v>57</v>
      </c>
      <c r="O28" s="238">
        <f>'Qualité du paysage'!Q25</f>
        <v>0</v>
      </c>
      <c r="P28" s="500"/>
      <c r="Q28" s="715" t="str">
        <f>Texte!A476</f>
        <v>Contributions à la qualité du paysage sur l'exploitation d'estivage</v>
      </c>
      <c r="R28" s="716"/>
      <c r="S28" s="716"/>
      <c r="T28" s="511" t="s">
        <v>57</v>
      </c>
      <c r="U28" s="515"/>
    </row>
    <row r="29" spans="1:21" ht="27" customHeight="1">
      <c r="B29" s="351"/>
      <c r="C29" s="717" t="str">
        <f>Texte!A93</f>
        <v>Contributions au système de production (CSP, Art. 65 à 76 et Annexe 7 OPD)</v>
      </c>
      <c r="D29" s="717"/>
      <c r="E29" s="717"/>
      <c r="F29" s="717"/>
      <c r="G29" s="717"/>
      <c r="H29" s="717"/>
      <c r="I29" s="717"/>
      <c r="J29" s="17"/>
      <c r="K29" s="143" t="str">
        <f>Texte!A244</f>
        <v>report paiements directs 5</v>
      </c>
      <c r="L29" s="143"/>
      <c r="M29" s="143"/>
      <c r="N29" s="237" t="s">
        <v>57</v>
      </c>
      <c r="O29" s="238">
        <f>'Système de production'!Q166</f>
        <v>0</v>
      </c>
      <c r="P29" s="500"/>
      <c r="Q29" s="508"/>
      <c r="R29" s="509"/>
      <c r="S29" s="509"/>
      <c r="T29" s="182"/>
      <c r="U29" s="504"/>
    </row>
    <row r="30" spans="1:21" ht="27" customHeight="1">
      <c r="B30" s="351"/>
      <c r="C30" s="717" t="str">
        <f>Texte!A110</f>
        <v>Contributions à l'efficience des ressources (nationales: CER, Art. 82 et Annexe 7 OPD)</v>
      </c>
      <c r="D30" s="717"/>
      <c r="E30" s="717"/>
      <c r="F30" s="717"/>
      <c r="G30" s="717"/>
      <c r="H30" s="717"/>
      <c r="I30" s="717"/>
      <c r="J30" s="17"/>
      <c r="K30" s="143" t="str">
        <f>Texte!A245</f>
        <v>report paiements directs 6</v>
      </c>
      <c r="L30" s="143"/>
      <c r="M30" s="143"/>
      <c r="N30" s="237" t="s">
        <v>57</v>
      </c>
      <c r="O30" s="238">
        <f>'Efficience des ressources'!Q22</f>
        <v>0</v>
      </c>
      <c r="P30" s="500"/>
      <c r="Q30" s="508"/>
      <c r="R30" s="509"/>
      <c r="S30" s="509"/>
      <c r="T30" s="182"/>
      <c r="U30" s="504"/>
    </row>
    <row r="31" spans="1:21" ht="27" customHeight="1">
      <c r="B31" s="351"/>
      <c r="C31" s="717" t="str">
        <f>Texte!A106</f>
        <v>Contribution de transition (CT, Art. 84 à 96 OPD)</v>
      </c>
      <c r="D31" s="717"/>
      <c r="E31" s="717"/>
      <c r="F31" s="717"/>
      <c r="G31" s="717"/>
      <c r="H31" s="717"/>
      <c r="I31" s="717"/>
      <c r="J31" s="17"/>
      <c r="K31" s="143" t="str">
        <f>Texte!A246</f>
        <v>report paiements directs 7</v>
      </c>
      <c r="L31" s="143"/>
      <c r="M31" s="143"/>
      <c r="N31" s="237" t="s">
        <v>57</v>
      </c>
      <c r="O31" s="238">
        <f>O20</f>
        <v>0</v>
      </c>
      <c r="P31" s="500"/>
      <c r="Q31" s="508"/>
      <c r="R31" s="509"/>
      <c r="S31" s="509"/>
      <c r="T31" s="182"/>
      <c r="U31" s="504"/>
    </row>
    <row r="32" spans="1:21" ht="27" customHeight="1">
      <c r="B32" s="351"/>
      <c r="C32" s="54"/>
      <c r="D32" s="54"/>
      <c r="E32" s="54"/>
      <c r="F32" s="17"/>
      <c r="G32" s="17"/>
      <c r="H32" s="17"/>
      <c r="J32" s="17"/>
      <c r="K32" s="17"/>
      <c r="L32" s="17"/>
      <c r="M32" s="17"/>
      <c r="N32" s="23"/>
      <c r="O32" s="275"/>
      <c r="P32" s="499"/>
      <c r="Q32" s="508"/>
      <c r="R32" s="509"/>
      <c r="S32" s="509"/>
      <c r="T32" s="182"/>
      <c r="U32" s="504"/>
    </row>
    <row r="33" spans="2:21" s="247" customFormat="1" ht="27" customHeight="1">
      <c r="B33" s="457"/>
      <c r="C33" s="313" t="str">
        <f>Texte!A95</f>
        <v>Contributions pour des cultures particulières (selon Ord. sur les contrib. à des cultures particulières)</v>
      </c>
      <c r="D33" s="313"/>
      <c r="E33" s="313"/>
      <c r="F33" s="143"/>
      <c r="G33" s="143"/>
      <c r="H33" s="143"/>
      <c r="J33" s="143"/>
      <c r="K33" s="143" t="str">
        <f>Texte!A241</f>
        <v>report paiements directs 2</v>
      </c>
      <c r="L33" s="143"/>
      <c r="M33" s="143"/>
      <c r="N33" s="237" t="s">
        <v>57</v>
      </c>
      <c r="O33" s="238">
        <f>Sécurité!Q81</f>
        <v>0</v>
      </c>
      <c r="P33" s="500"/>
      <c r="Q33" s="508"/>
      <c r="R33" s="509"/>
      <c r="S33" s="509"/>
      <c r="T33" s="348"/>
      <c r="U33" s="504"/>
    </row>
    <row r="34" spans="2:21" s="247" customFormat="1" ht="27" customHeight="1">
      <c r="B34" s="457"/>
      <c r="C34" s="717" t="str">
        <f>Texte!A112</f>
        <v>Contributions à l'efficience des ressources (régionales: Art. 77 a/b LAgr et Art. 62a LEaux)</v>
      </c>
      <c r="D34" s="717"/>
      <c r="E34" s="717"/>
      <c r="F34" s="717"/>
      <c r="G34" s="717"/>
      <c r="H34" s="717"/>
      <c r="I34" s="717"/>
      <c r="J34" s="254"/>
      <c r="K34" s="143" t="str">
        <f>Texte!A245</f>
        <v>report paiements directs 6</v>
      </c>
      <c r="L34" s="143"/>
      <c r="M34" s="143"/>
      <c r="N34" s="237" t="s">
        <v>57</v>
      </c>
      <c r="O34" s="238">
        <f>'Efficience des ressources'!Q30</f>
        <v>0</v>
      </c>
      <c r="P34" s="500"/>
      <c r="Q34" s="508"/>
      <c r="R34" s="509"/>
      <c r="S34" s="509"/>
      <c r="T34" s="348"/>
      <c r="U34" s="504"/>
    </row>
    <row r="35" spans="2:21" ht="27" customHeight="1">
      <c r="B35" s="351"/>
      <c r="C35" s="349"/>
      <c r="D35" s="54"/>
      <c r="E35" s="54"/>
      <c r="F35" s="54"/>
      <c r="G35" s="17"/>
      <c r="H35" s="17"/>
      <c r="I35" s="17"/>
      <c r="J35" s="17"/>
      <c r="K35" s="17"/>
      <c r="L35" s="17"/>
      <c r="M35" s="17"/>
      <c r="N35" s="58"/>
      <c r="O35" s="275"/>
      <c r="P35" s="499"/>
      <c r="Q35" s="508"/>
      <c r="R35" s="509"/>
      <c r="S35" s="509"/>
      <c r="T35" s="182"/>
      <c r="U35" s="213"/>
    </row>
    <row r="36" spans="2:21" s="247" customFormat="1" ht="27" customHeight="1">
      <c r="B36" s="457"/>
      <c r="C36" s="458" t="str">
        <f>Texte!A283</f>
        <v>Total paiements directs et contributions 2023</v>
      </c>
      <c r="D36" s="313"/>
      <c r="E36" s="313"/>
      <c r="F36" s="313"/>
      <c r="G36" s="143"/>
      <c r="H36" s="143"/>
      <c r="I36" s="143"/>
      <c r="J36" s="143"/>
      <c r="K36" s="143"/>
      <c r="L36" s="143"/>
      <c r="M36" s="336"/>
      <c r="N36" s="237" t="s">
        <v>141</v>
      </c>
      <c r="O36" s="459">
        <f>SUM(O25:O31)+SUM(O33:O34)</f>
        <v>0</v>
      </c>
      <c r="P36" s="501"/>
      <c r="Q36" s="715" t="str">
        <f>Texte!A472</f>
        <v>Contrib. sur l'exploitation d'estivage</v>
      </c>
      <c r="R36" s="723"/>
      <c r="S36" s="723"/>
      <c r="T36" s="495" t="s">
        <v>141</v>
      </c>
      <c r="U36" s="505">
        <f>SUM(U25:U28)</f>
        <v>0</v>
      </c>
    </row>
    <row r="37" spans="2:21" ht="7.5" customHeight="1">
      <c r="B37" s="352"/>
      <c r="C37" s="63"/>
      <c r="D37" s="54"/>
      <c r="E37" s="54"/>
      <c r="F37" s="54"/>
      <c r="G37" s="17"/>
      <c r="H37" s="17"/>
      <c r="I37" s="17"/>
      <c r="J37" s="17"/>
      <c r="K37" s="17"/>
      <c r="L37" s="17"/>
      <c r="M37" s="38"/>
      <c r="N37" s="58"/>
      <c r="O37" s="210"/>
      <c r="P37" s="502"/>
      <c r="Q37" s="516"/>
      <c r="R37" s="182"/>
      <c r="S37" s="182"/>
      <c r="T37" s="182"/>
      <c r="U37" s="213"/>
    </row>
    <row r="38" spans="2:21" s="247" customFormat="1" ht="18.75" customHeight="1">
      <c r="B38" s="460"/>
      <c r="C38" s="458"/>
      <c r="D38" s="313"/>
      <c r="E38" s="313"/>
      <c r="F38" s="313"/>
      <c r="G38" s="143"/>
      <c r="H38" s="143"/>
      <c r="I38" s="143"/>
      <c r="J38" s="143"/>
      <c r="K38" s="143"/>
      <c r="L38" s="143"/>
      <c r="M38" s="336" t="str">
        <f>Texte!A51</f>
        <v xml:space="preserve">Attention ! Ce total inclut les contributions uniques pour l'achat de machines (CER) qui se montent à: </v>
      </c>
      <c r="N38" s="237"/>
      <c r="O38" s="238">
        <f>'Efficience des ressources'!Q13</f>
        <v>0</v>
      </c>
      <c r="P38" s="500"/>
      <c r="Q38" s="715" t="str">
        <f>Texte!A478</f>
        <v>Ce récapitulatif est le détail des contributions concernant l'exploitation d'estivage: celles-ci sont déjà incluses dans la récapitulation des contributions ci-contre.</v>
      </c>
      <c r="R38" s="650"/>
      <c r="S38" s="650"/>
      <c r="T38" s="650"/>
      <c r="U38" s="724"/>
    </row>
    <row r="39" spans="2:21" ht="17.100000000000001" customHeight="1">
      <c r="B39" s="352"/>
      <c r="C39" s="718"/>
      <c r="D39" s="718"/>
      <c r="E39" s="718"/>
      <c r="F39" s="718"/>
      <c r="G39" s="718"/>
      <c r="H39" s="718"/>
      <c r="I39" s="718"/>
      <c r="J39" s="718"/>
      <c r="K39" s="718"/>
      <c r="L39" s="718"/>
      <c r="M39" s="718"/>
      <c r="N39" s="718"/>
      <c r="O39" s="719"/>
      <c r="P39" s="496"/>
      <c r="Q39" s="715"/>
      <c r="R39" s="650"/>
      <c r="S39" s="650"/>
      <c r="T39" s="650"/>
      <c r="U39" s="724"/>
    </row>
    <row r="40" spans="2:21">
      <c r="B40" s="192"/>
      <c r="C40" s="193"/>
      <c r="D40" s="193"/>
      <c r="E40" s="193"/>
      <c r="F40" s="193"/>
      <c r="G40" s="75"/>
      <c r="H40" s="75"/>
      <c r="I40" s="75"/>
      <c r="J40" s="75"/>
      <c r="K40" s="75"/>
      <c r="L40" s="75"/>
      <c r="M40" s="75"/>
      <c r="N40" s="76"/>
      <c r="O40" s="211"/>
      <c r="P40" s="499"/>
      <c r="Q40" s="517"/>
      <c r="R40" s="214"/>
      <c r="S40" s="214"/>
      <c r="T40" s="214"/>
      <c r="U40" s="215"/>
    </row>
    <row r="41" spans="2:21">
      <c r="Q41" s="182"/>
    </row>
    <row r="42" spans="2:21" ht="18">
      <c r="B42" s="63" t="str">
        <f>Texte!A233</f>
        <v>Pour rappel: critères d’entrée en matière et surface donnant droit aux contributions</v>
      </c>
      <c r="Q42" s="182"/>
    </row>
    <row r="43" spans="2:21" ht="24.95" customHeight="1">
      <c r="B43" s="354"/>
      <c r="C43" s="720" t="str">
        <f>Texte!A440</f>
        <v>- Surface agricole utile donnant droit aux contributions: SAU sauf chanvre non cultivé pour l’utilisation des fibres ou des graines, plantes forestières, sapins de Noël, pépinières, plantes ornementales, serres avec fondations permanentes, cultures horticoles (voir aussi Aide à l'exécution Feuille d'information n°6.2: catalogue des surfaces)</v>
      </c>
      <c r="D43" s="721"/>
      <c r="E43" s="721"/>
      <c r="F43" s="721"/>
      <c r="G43" s="721"/>
      <c r="H43" s="721"/>
      <c r="I43" s="721"/>
      <c r="J43" s="721"/>
      <c r="K43" s="721"/>
      <c r="L43" s="721"/>
      <c r="M43" s="721"/>
      <c r="N43" s="721"/>
      <c r="O43" s="722"/>
      <c r="P43" s="503"/>
    </row>
    <row r="44" spans="2:21">
      <c r="B44" s="243"/>
      <c r="C44" s="206" t="str">
        <f>Texte!A21</f>
        <v>- Charge minimale de travail (0.2 UMOS)</v>
      </c>
      <c r="D44" s="182"/>
      <c r="E44" s="182"/>
      <c r="F44" s="182"/>
      <c r="G44" s="182"/>
      <c r="H44" s="182"/>
      <c r="I44" s="182"/>
      <c r="J44" s="182"/>
      <c r="K44" s="182"/>
      <c r="L44" s="182"/>
      <c r="M44" s="182"/>
      <c r="N44" s="182"/>
      <c r="O44" s="213"/>
      <c r="P44" s="182"/>
    </row>
    <row r="45" spans="2:21">
      <c r="B45" s="243"/>
      <c r="C45" s="206" t="str">
        <f>Texte!A28</f>
        <v>- Part minimale de main-d'œuvre propre à l'exploitation (50%)</v>
      </c>
      <c r="D45" s="182"/>
      <c r="E45" s="182"/>
      <c r="F45" s="182"/>
      <c r="G45" s="182"/>
      <c r="H45" s="182"/>
      <c r="I45" s="182"/>
      <c r="J45" s="182"/>
      <c r="K45" s="182"/>
      <c r="L45" s="182"/>
      <c r="M45" s="182"/>
      <c r="N45" s="182"/>
      <c r="O45" s="213"/>
      <c r="P45" s="182"/>
    </row>
    <row r="46" spans="2:21">
      <c r="B46" s="243"/>
      <c r="C46" s="206" t="str">
        <f>Texte!A27</f>
        <v>- Limite d'âge (65 ans)</v>
      </c>
      <c r="D46" s="182"/>
      <c r="E46" s="182"/>
      <c r="F46" s="182"/>
      <c r="G46" s="182"/>
      <c r="H46" s="182"/>
      <c r="I46" s="182"/>
      <c r="J46" s="182"/>
      <c r="K46" s="182"/>
      <c r="L46" s="182"/>
      <c r="M46" s="182"/>
      <c r="N46" s="182"/>
      <c r="O46" s="213"/>
      <c r="P46" s="182"/>
    </row>
    <row r="47" spans="2:21">
      <c r="B47" s="243"/>
      <c r="C47" s="206" t="str">
        <f>Texte!A26</f>
        <v>- Formation professionnelle agricole</v>
      </c>
      <c r="D47" s="182"/>
      <c r="E47" s="182"/>
      <c r="F47" s="182"/>
      <c r="G47" s="182"/>
      <c r="H47" s="182"/>
      <c r="I47" s="182"/>
      <c r="J47" s="182"/>
      <c r="K47" s="182"/>
      <c r="L47" s="182"/>
      <c r="M47" s="182"/>
      <c r="N47" s="182"/>
      <c r="O47" s="213"/>
      <c r="P47" s="182"/>
    </row>
    <row r="48" spans="2:21">
      <c r="B48" s="355"/>
      <c r="C48" s="353" t="str">
        <f>Texte!A30</f>
        <v>- Prestations écologiques requises PER</v>
      </c>
      <c r="D48" s="214"/>
      <c r="E48" s="214"/>
      <c r="F48" s="214"/>
      <c r="G48" s="214"/>
      <c r="H48" s="214"/>
      <c r="I48" s="214"/>
      <c r="J48" s="214"/>
      <c r="K48" s="214"/>
      <c r="L48" s="214"/>
      <c r="M48" s="214"/>
      <c r="N48" s="214"/>
      <c r="O48" s="215"/>
      <c r="P48" s="182"/>
    </row>
    <row r="49" spans="3:18" ht="30" customHeight="1">
      <c r="C49" s="725" t="str">
        <f>Texte!A327</f>
        <v>Etat selon modifications d'ordonnances dans le cadre de l'initiative parlementaire 19.475 d'avril 2022. 
AGRIDEA décline toute responsabilité quant aux conséquences de l’utilisation de cet outil.                                                          Version 4.9.3</v>
      </c>
      <c r="D49" s="725"/>
      <c r="E49" s="725"/>
      <c r="F49" s="725"/>
      <c r="G49" s="725"/>
      <c r="H49" s="725"/>
      <c r="I49" s="725"/>
      <c r="J49" s="725"/>
      <c r="K49" s="725"/>
      <c r="L49" s="725"/>
      <c r="M49" s="725"/>
      <c r="N49" s="725"/>
      <c r="O49" s="725"/>
      <c r="P49" s="318"/>
      <c r="Q49" s="229"/>
      <c r="R49" s="229"/>
    </row>
  </sheetData>
  <sheetProtection sheet="1" objects="1" scenarios="1" selectLockedCells="1"/>
  <mergeCells count="17">
    <mergeCell ref="C49:O49"/>
    <mergeCell ref="C29:I29"/>
    <mergeCell ref="C34:I34"/>
    <mergeCell ref="N8:O9"/>
    <mergeCell ref="C25:I25"/>
    <mergeCell ref="C30:I30"/>
    <mergeCell ref="C31:I31"/>
    <mergeCell ref="C26:I26"/>
    <mergeCell ref="C27:I27"/>
    <mergeCell ref="C12:J12"/>
    <mergeCell ref="Q27:S27"/>
    <mergeCell ref="Q28:S28"/>
    <mergeCell ref="C28:I28"/>
    <mergeCell ref="C39:O39"/>
    <mergeCell ref="C43:O43"/>
    <mergeCell ref="Q36:S36"/>
    <mergeCell ref="Q38:U39"/>
  </mergeCells>
  <phoneticPr fontId="23" type="noConversion"/>
  <pageMargins left="0.78740157480314965" right="0.78740157480314965" top="0.59055118110236227" bottom="0.59055118110236227" header="0.51181102362204722" footer="0.31496062992125984"/>
  <pageSetup paperSize="9" scale="43" orientation="portrait" r:id="rId1"/>
  <headerFooter alignWithMargins="0">
    <oddFooter>&amp;L©AGRIDEA&amp;R04.2022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X126"/>
  <sheetViews>
    <sheetView showGridLines="0" showRowColHeaders="0" showZeros="0" zoomScaleNormal="100" workbookViewId="0">
      <selection activeCell="F10" sqref="F10"/>
    </sheetView>
  </sheetViews>
  <sheetFormatPr baseColWidth="10" defaultColWidth="11.42578125" defaultRowHeight="14.1" customHeight="1"/>
  <cols>
    <col min="1" max="1" width="0.85546875" style="184" customWidth="1"/>
    <col min="2" max="2" width="1.5703125" style="184" customWidth="1"/>
    <col min="3" max="3" width="41" style="184" customWidth="1"/>
    <col min="4" max="4" width="9.5703125" style="184" customWidth="1"/>
    <col min="5" max="5" width="8.5703125" style="184" customWidth="1"/>
    <col min="6" max="6" width="16.42578125" style="184" customWidth="1"/>
    <col min="7" max="7" width="1.85546875" style="184" customWidth="1"/>
    <col min="8" max="8" width="11.42578125" style="184"/>
    <col min="9" max="9" width="1.5703125" style="184" customWidth="1"/>
    <col min="10" max="10" width="11.5703125" style="184" customWidth="1"/>
    <col min="11" max="11" width="2.5703125" style="184" customWidth="1"/>
    <col min="12" max="12" width="6.5703125" style="184" customWidth="1"/>
    <col min="13" max="13" width="8.42578125" style="228" customWidth="1"/>
    <col min="14" max="14" width="10.5703125" style="184" customWidth="1"/>
    <col min="15" max="15" width="2.5703125" style="184" bestFit="1" customWidth="1"/>
    <col min="16" max="16" width="2.5703125" style="184" customWidth="1"/>
    <col min="17" max="18" width="10.5703125" style="184" customWidth="1"/>
    <col min="19" max="16384" width="11.42578125" style="184"/>
  </cols>
  <sheetData>
    <row r="1" spans="1:18" ht="42" customHeight="1">
      <c r="B1" s="63"/>
      <c r="C1" s="182"/>
      <c r="D1" s="379" t="str">
        <f>Texte!A73</f>
        <v>Calcul des paiements directs à partir de 2023</v>
      </c>
      <c r="E1" s="317"/>
      <c r="F1" s="317"/>
      <c r="G1" s="317"/>
      <c r="H1" s="317"/>
      <c r="I1" s="317"/>
      <c r="J1" s="317"/>
      <c r="K1" s="182"/>
      <c r="L1" s="182"/>
      <c r="M1" s="216"/>
      <c r="P1" s="1" t="str">
        <f>Texte!A214</f>
        <v>Paiements directs 8</v>
      </c>
    </row>
    <row r="2" spans="1:18" s="197" customFormat="1" ht="11.1" customHeight="1" thickBot="1">
      <c r="B2" s="217"/>
      <c r="C2" s="217"/>
      <c r="D2" s="217"/>
      <c r="E2" s="217"/>
      <c r="F2" s="217"/>
      <c r="G2" s="217"/>
      <c r="H2" s="217"/>
      <c r="I2" s="217"/>
      <c r="J2" s="217"/>
      <c r="K2" s="217"/>
      <c r="L2" s="217"/>
      <c r="M2" s="218"/>
      <c r="N2" s="59"/>
      <c r="O2" s="60"/>
      <c r="P2" s="60"/>
    </row>
    <row r="3" spans="1:18" ht="21.95" customHeight="1">
      <c r="A3" s="182"/>
      <c r="B3" s="22" t="str">
        <f>Texte!A178</f>
        <v>Exploitation:</v>
      </c>
      <c r="C3" s="54"/>
      <c r="D3" s="169">
        <f>'Paysage cultivé'!D3</f>
        <v>0</v>
      </c>
      <c r="E3" s="170"/>
      <c r="F3" s="170" t="s">
        <v>136</v>
      </c>
      <c r="G3" s="127"/>
      <c r="H3" s="54"/>
      <c r="I3" s="5" t="str">
        <f>Texte!A294</f>
        <v>Variante:</v>
      </c>
      <c r="J3" s="171">
        <f>'Paysage cultivé'!K3</f>
        <v>0</v>
      </c>
      <c r="K3" s="172"/>
      <c r="L3" s="55"/>
      <c r="M3" s="173" t="str">
        <f>Texte!A53</f>
        <v>Année:</v>
      </c>
      <c r="N3" s="174">
        <f>'Paysage cultivé'!O3</f>
        <v>0</v>
      </c>
      <c r="O3" s="175"/>
      <c r="P3" s="175"/>
    </row>
    <row r="4" spans="1:18" ht="10.5" customHeight="1">
      <c r="A4" s="182"/>
      <c r="B4" s="22"/>
      <c r="C4" s="54"/>
      <c r="D4" s="54"/>
      <c r="E4" s="54"/>
      <c r="F4" s="17"/>
      <c r="G4" s="17"/>
      <c r="H4" s="54"/>
      <c r="I4" s="5"/>
      <c r="J4" s="48"/>
      <c r="K4" s="54"/>
      <c r="L4" s="17"/>
      <c r="M4" s="62"/>
      <c r="N4" s="38"/>
      <c r="O4" s="17"/>
    </row>
    <row r="5" spans="1:18" ht="22.5" customHeight="1">
      <c r="B5" s="378" t="str">
        <f>Texte!A75</f>
        <v>Calcul des unités de main-d'œuvre standard (UMOS)</v>
      </c>
      <c r="C5" s="182"/>
      <c r="D5" s="182"/>
      <c r="E5" s="182"/>
      <c r="F5" s="17"/>
      <c r="G5" s="17"/>
      <c r="H5" s="54"/>
      <c r="I5" s="5"/>
      <c r="J5" s="48"/>
      <c r="K5" s="54"/>
      <c r="L5" s="17"/>
      <c r="M5" s="62"/>
      <c r="N5" s="38"/>
      <c r="O5" s="17"/>
      <c r="Q5" s="364"/>
    </row>
    <row r="6" spans="1:18" ht="6" customHeight="1">
      <c r="B6" s="63"/>
      <c r="C6" s="739"/>
      <c r="D6" s="739"/>
      <c r="E6" s="739"/>
      <c r="F6" s="739"/>
      <c r="G6" s="739"/>
      <c r="H6" s="739"/>
      <c r="I6" s="739"/>
      <c r="J6" s="739"/>
      <c r="K6" s="739"/>
      <c r="L6" s="731"/>
      <c r="M6" s="731"/>
      <c r="N6" s="731"/>
      <c r="O6" s="229"/>
      <c r="Q6" s="365"/>
      <c r="R6" s="365"/>
    </row>
    <row r="7" spans="1:18" ht="4.5" customHeight="1">
      <c r="B7" s="63"/>
      <c r="C7" s="732"/>
      <c r="D7" s="732"/>
      <c r="E7" s="732"/>
      <c r="F7" s="431"/>
      <c r="G7" s="431"/>
      <c r="H7" s="431"/>
      <c r="I7" s="431"/>
      <c r="J7" s="431"/>
      <c r="K7" s="431"/>
      <c r="L7" s="430"/>
      <c r="M7" s="430"/>
      <c r="N7" s="430"/>
      <c r="O7" s="229"/>
      <c r="Q7" s="365"/>
      <c r="R7" s="365"/>
    </row>
    <row r="8" spans="1:18" ht="39.75" customHeight="1">
      <c r="B8" s="64"/>
      <c r="C8" s="65"/>
      <c r="D8" s="65"/>
      <c r="E8" s="65"/>
      <c r="F8" s="66" t="str">
        <f>Texte!A180</f>
        <v>ha resp. UGB</v>
      </c>
      <c r="G8" s="67"/>
      <c r="H8" s="68" t="str">
        <f>Texte!A265</f>
        <v>Taux/unité</v>
      </c>
      <c r="I8" s="66"/>
      <c r="J8" s="68" t="str">
        <f>Texte!A290</f>
        <v>UMOS</v>
      </c>
      <c r="K8" s="69"/>
      <c r="L8" s="243"/>
      <c r="M8" s="23"/>
      <c r="N8" s="17"/>
      <c r="O8" s="182"/>
    </row>
    <row r="9" spans="1:18" ht="3" customHeight="1">
      <c r="B9" s="70"/>
      <c r="C9" s="318"/>
      <c r="D9" s="367"/>
      <c r="E9" s="367"/>
      <c r="F9" s="71"/>
      <c r="G9" s="5"/>
      <c r="H9" s="23"/>
      <c r="I9" s="71"/>
      <c r="J9" s="23"/>
      <c r="K9" s="72"/>
      <c r="M9" s="23"/>
      <c r="N9" s="17"/>
    </row>
    <row r="10" spans="1:18" ht="24.95" customHeight="1">
      <c r="B10" s="70"/>
      <c r="C10" s="723" t="str">
        <f>Texte!A248</f>
        <v>SAU sans les cultures spéciales (+ haies, bosquets et berges boisées, surfaces à litière, zones de berge)</v>
      </c>
      <c r="D10" s="723"/>
      <c r="E10" s="740"/>
      <c r="F10" s="452"/>
      <c r="G10" s="233" t="s">
        <v>140</v>
      </c>
      <c r="H10" s="368">
        <v>2.1999999999999999E-2</v>
      </c>
      <c r="I10" s="314" t="s">
        <v>141</v>
      </c>
      <c r="J10" s="369">
        <f>F10*H10</f>
        <v>0</v>
      </c>
      <c r="K10" s="294"/>
      <c r="L10" s="247"/>
      <c r="M10" s="23"/>
      <c r="N10" s="17"/>
    </row>
    <row r="11" spans="1:18" ht="3" customHeight="1">
      <c r="B11" s="70"/>
      <c r="C11" s="367"/>
      <c r="D11" s="282"/>
      <c r="E11" s="282"/>
      <c r="F11" s="271"/>
      <c r="G11" s="233"/>
      <c r="H11" s="370"/>
      <c r="I11" s="314"/>
      <c r="J11" s="371"/>
      <c r="K11" s="294"/>
      <c r="L11" s="247"/>
      <c r="M11" s="23"/>
      <c r="N11" s="17"/>
    </row>
    <row r="12" spans="1:18" ht="17.100000000000001" customHeight="1">
      <c r="B12" s="70"/>
      <c r="C12" s="54" t="str">
        <f>Texte!A17</f>
        <v xml:space="preserve">   Supplément pour culture biologique</v>
      </c>
      <c r="D12" s="54"/>
      <c r="E12" s="54"/>
      <c r="F12" s="452"/>
      <c r="G12" s="233" t="s">
        <v>140</v>
      </c>
      <c r="H12" s="368">
        <f>0.2*H10</f>
        <v>4.4000000000000003E-3</v>
      </c>
      <c r="I12" s="314" t="s">
        <v>141</v>
      </c>
      <c r="J12" s="369">
        <f>F12*H12</f>
        <v>0</v>
      </c>
      <c r="K12" s="294"/>
      <c r="L12" s="247"/>
      <c r="M12" s="23"/>
      <c r="N12" s="17"/>
    </row>
    <row r="13" spans="1:18" ht="3" customHeight="1">
      <c r="B13" s="70"/>
      <c r="C13" s="54"/>
      <c r="D13" s="54"/>
      <c r="E13" s="54"/>
      <c r="F13" s="271"/>
      <c r="G13" s="233"/>
      <c r="H13" s="370"/>
      <c r="I13" s="314"/>
      <c r="J13" s="371"/>
      <c r="K13" s="294"/>
      <c r="L13" s="247"/>
      <c r="M13" s="23"/>
      <c r="N13" s="17"/>
    </row>
    <row r="14" spans="1:18" ht="17.100000000000001" customHeight="1">
      <c r="B14" s="70"/>
      <c r="C14" s="54" t="str">
        <f>Texte!A171</f>
        <v>Cultures spéciales sans les surf. viticoles en forte pente et en terasses</v>
      </c>
      <c r="D14" s="54"/>
      <c r="E14" s="54"/>
      <c r="F14" s="452"/>
      <c r="G14" s="233" t="s">
        <v>140</v>
      </c>
      <c r="H14" s="368">
        <v>0.32300000000000001</v>
      </c>
      <c r="I14" s="314" t="s">
        <v>141</v>
      </c>
      <c r="J14" s="369">
        <f>F14*H14</f>
        <v>0</v>
      </c>
      <c r="K14" s="294"/>
      <c r="L14" s="247"/>
      <c r="M14" s="23"/>
      <c r="N14" s="17"/>
    </row>
    <row r="15" spans="1:18" ht="3" customHeight="1">
      <c r="B15" s="70"/>
      <c r="C15" s="54"/>
      <c r="D15" s="54"/>
      <c r="E15" s="54"/>
      <c r="F15" s="271"/>
      <c r="G15" s="233"/>
      <c r="H15" s="370"/>
      <c r="I15" s="314"/>
      <c r="J15" s="371"/>
      <c r="K15" s="294"/>
      <c r="L15" s="247"/>
      <c r="M15" s="23"/>
      <c r="N15" s="17"/>
    </row>
    <row r="16" spans="1:18" ht="17.100000000000001" customHeight="1">
      <c r="B16" s="70"/>
      <c r="C16" s="54" t="str">
        <f>Texte!A17</f>
        <v xml:space="preserve">   Supplément pour culture biologique</v>
      </c>
      <c r="D16" s="54"/>
      <c r="E16" s="54"/>
      <c r="F16" s="452"/>
      <c r="G16" s="233" t="s">
        <v>140</v>
      </c>
      <c r="H16" s="368">
        <f>0.2*H14</f>
        <v>6.4600000000000005E-2</v>
      </c>
      <c r="I16" s="314" t="s">
        <v>141</v>
      </c>
      <c r="J16" s="369">
        <f>F16*H16</f>
        <v>0</v>
      </c>
      <c r="K16" s="294"/>
      <c r="L16" s="247"/>
      <c r="M16" s="23"/>
      <c r="N16" s="17"/>
    </row>
    <row r="17" spans="2:14" ht="3" customHeight="1">
      <c r="B17" s="70"/>
      <c r="C17" s="54"/>
      <c r="D17" s="54"/>
      <c r="E17" s="54"/>
      <c r="F17" s="271"/>
      <c r="G17" s="233"/>
      <c r="H17" s="370"/>
      <c r="I17" s="314"/>
      <c r="J17" s="371"/>
      <c r="K17" s="294"/>
      <c r="L17" s="247"/>
      <c r="M17" s="23"/>
      <c r="N17" s="17"/>
    </row>
    <row r="18" spans="2:14" ht="17.100000000000001" customHeight="1">
      <c r="B18" s="70"/>
      <c r="C18" s="54" t="str">
        <f>Texte!A261</f>
        <v>Surfaces viticoles en forte pente et en terrasses</v>
      </c>
      <c r="D18" s="54"/>
      <c r="E18" s="54"/>
      <c r="F18" s="452"/>
      <c r="G18" s="233" t="s">
        <v>140</v>
      </c>
      <c r="H18" s="368">
        <v>1.077</v>
      </c>
      <c r="I18" s="314" t="s">
        <v>141</v>
      </c>
      <c r="J18" s="369">
        <f>F18*H18</f>
        <v>0</v>
      </c>
      <c r="K18" s="294"/>
      <c r="L18" s="247"/>
      <c r="M18" s="23"/>
      <c r="N18" s="17"/>
    </row>
    <row r="19" spans="2:14" ht="3" customHeight="1">
      <c r="B19" s="70"/>
      <c r="C19" s="54"/>
      <c r="D19" s="54"/>
      <c r="E19" s="54"/>
      <c r="F19" s="271"/>
      <c r="G19" s="233"/>
      <c r="H19" s="370"/>
      <c r="I19" s="314"/>
      <c r="J19" s="371"/>
      <c r="K19" s="294"/>
      <c r="L19" s="247"/>
      <c r="M19" s="23"/>
      <c r="N19" s="17"/>
    </row>
    <row r="20" spans="2:14" ht="17.100000000000001" customHeight="1">
      <c r="B20" s="70"/>
      <c r="C20" s="54" t="str">
        <f>Texte!A17</f>
        <v xml:space="preserve">   Supplément pour culture biologique</v>
      </c>
      <c r="D20" s="54"/>
      <c r="E20" s="54"/>
      <c r="F20" s="452"/>
      <c r="G20" s="233" t="s">
        <v>140</v>
      </c>
      <c r="H20" s="368">
        <f>0.2*H18</f>
        <v>0.21540000000000001</v>
      </c>
      <c r="I20" s="314" t="s">
        <v>141</v>
      </c>
      <c r="J20" s="369">
        <f>F20*H20</f>
        <v>0</v>
      </c>
      <c r="K20" s="294"/>
      <c r="L20" s="247"/>
      <c r="M20" s="23"/>
      <c r="N20" s="17"/>
    </row>
    <row r="21" spans="2:14" ht="3" customHeight="1">
      <c r="B21" s="70"/>
      <c r="C21" s="54"/>
      <c r="D21" s="54"/>
      <c r="E21" s="54"/>
      <c r="F21" s="271"/>
      <c r="G21" s="233"/>
      <c r="H21" s="370"/>
      <c r="I21" s="314"/>
      <c r="J21" s="371"/>
      <c r="K21" s="294"/>
      <c r="L21" s="247"/>
      <c r="M21" s="23"/>
      <c r="N21" s="17"/>
    </row>
    <row r="22" spans="2:14" ht="17.100000000000001" customHeight="1">
      <c r="B22" s="73"/>
      <c r="C22" s="17" t="str">
        <f>Texte!A268</f>
        <v>Terrains en pente 18 - 35%</v>
      </c>
      <c r="D22" s="17"/>
      <c r="E22" s="17"/>
      <c r="F22" s="452"/>
      <c r="G22" s="233" t="s">
        <v>140</v>
      </c>
      <c r="H22" s="368">
        <v>1.6E-2</v>
      </c>
      <c r="I22" s="233" t="s">
        <v>141</v>
      </c>
      <c r="J22" s="369">
        <f>F22*H22</f>
        <v>0</v>
      </c>
      <c r="K22" s="294"/>
      <c r="L22" s="247"/>
      <c r="M22" s="23"/>
      <c r="N22" s="17"/>
    </row>
    <row r="23" spans="2:14" ht="3" customHeight="1">
      <c r="B23" s="73"/>
      <c r="C23" s="17"/>
      <c r="D23" s="17"/>
      <c r="E23" s="17"/>
      <c r="F23" s="271"/>
      <c r="G23" s="233"/>
      <c r="H23" s="370"/>
      <c r="I23" s="233"/>
      <c r="J23" s="371"/>
      <c r="K23" s="294"/>
      <c r="L23" s="247"/>
      <c r="M23" s="23"/>
      <c r="N23" s="17"/>
    </row>
    <row r="24" spans="2:14" ht="16.5" customHeight="1">
      <c r="B24" s="73"/>
      <c r="C24" s="17" t="str">
        <f>Texte!A267</f>
        <v>Terrains en pente 35 - 50%</v>
      </c>
      <c r="D24" s="17"/>
      <c r="E24" s="366"/>
      <c r="F24" s="452"/>
      <c r="G24" s="233" t="s">
        <v>140</v>
      </c>
      <c r="H24" s="368">
        <v>2.7E-2</v>
      </c>
      <c r="I24" s="233" t="s">
        <v>141</v>
      </c>
      <c r="J24" s="369">
        <f>F24*H24</f>
        <v>0</v>
      </c>
      <c r="K24" s="294"/>
      <c r="L24" s="247"/>
      <c r="M24" s="23"/>
      <c r="N24" s="17"/>
    </row>
    <row r="25" spans="2:14" ht="3" customHeight="1">
      <c r="B25" s="73"/>
      <c r="C25" s="17"/>
      <c r="D25" s="17"/>
      <c r="E25" s="366"/>
      <c r="F25" s="271"/>
      <c r="G25" s="233"/>
      <c r="H25" s="370"/>
      <c r="I25" s="233"/>
      <c r="J25" s="371"/>
      <c r="K25" s="294"/>
      <c r="L25" s="247"/>
      <c r="M25" s="23"/>
      <c r="N25" s="17"/>
    </row>
    <row r="26" spans="2:14" ht="17.100000000000001" customHeight="1">
      <c r="B26" s="73"/>
      <c r="C26" s="17" t="str">
        <f>Texte!A362</f>
        <v>Terrains en pente &gt; 50%</v>
      </c>
      <c r="D26" s="17"/>
      <c r="E26" s="366"/>
      <c r="F26" s="452"/>
      <c r="G26" s="233" t="s">
        <v>140</v>
      </c>
      <c r="H26" s="368">
        <v>5.3999999999999999E-2</v>
      </c>
      <c r="I26" s="233" t="s">
        <v>141</v>
      </c>
      <c r="J26" s="369">
        <f>F26*H26</f>
        <v>0</v>
      </c>
      <c r="K26" s="294"/>
      <c r="L26" s="247"/>
      <c r="M26" s="23"/>
      <c r="N26" s="17"/>
    </row>
    <row r="27" spans="2:14" ht="3" customHeight="1">
      <c r="B27" s="73"/>
      <c r="C27" s="17"/>
      <c r="D27" s="17"/>
      <c r="E27" s="17"/>
      <c r="F27" s="271"/>
      <c r="G27" s="233"/>
      <c r="H27" s="370"/>
      <c r="I27" s="233"/>
      <c r="J27" s="371"/>
      <c r="K27" s="294"/>
      <c r="L27" s="247"/>
      <c r="M27" s="23"/>
      <c r="N27" s="17"/>
    </row>
    <row r="28" spans="2:14" ht="17.100000000000001" customHeight="1">
      <c r="B28" s="73"/>
      <c r="C28" s="17" t="str">
        <f>Texte!A293</f>
        <v>Vaches laitières, brebis laitières et chèvres laitières</v>
      </c>
      <c r="D28" s="17"/>
      <c r="E28" s="17"/>
      <c r="F28" s="452"/>
      <c r="G28" s="233" t="s">
        <v>140</v>
      </c>
      <c r="H28" s="368">
        <v>3.9E-2</v>
      </c>
      <c r="I28" s="233" t="s">
        <v>141</v>
      </c>
      <c r="J28" s="369">
        <f>F28*H28</f>
        <v>0</v>
      </c>
      <c r="K28" s="294"/>
      <c r="L28" s="247"/>
      <c r="M28" s="23"/>
      <c r="N28" s="17"/>
    </row>
    <row r="29" spans="2:14" ht="3" customHeight="1">
      <c r="B29" s="73"/>
      <c r="C29" s="17"/>
      <c r="D29" s="17"/>
      <c r="E29" s="17"/>
      <c r="F29" s="271"/>
      <c r="G29" s="233"/>
      <c r="H29" s="370"/>
      <c r="I29" s="233"/>
      <c r="J29" s="371"/>
      <c r="K29" s="294"/>
      <c r="L29" s="247"/>
      <c r="M29" s="23"/>
      <c r="N29" s="17"/>
    </row>
    <row r="30" spans="2:14" ht="24.95" customHeight="1">
      <c r="B30" s="73"/>
      <c r="C30" s="741" t="str">
        <f>Texte!A226</f>
        <v>Porcs à l'engrais, porcs de renouvellement de plus de 25 kg et porcelets sevrés</v>
      </c>
      <c r="D30" s="741"/>
      <c r="E30" s="742"/>
      <c r="F30" s="452"/>
      <c r="G30" s="233" t="s">
        <v>140</v>
      </c>
      <c r="H30" s="368">
        <v>8.0000000000000002E-3</v>
      </c>
      <c r="I30" s="233" t="s">
        <v>141</v>
      </c>
      <c r="J30" s="369">
        <f>F30*H30</f>
        <v>0</v>
      </c>
      <c r="K30" s="294"/>
      <c r="L30" s="247"/>
      <c r="M30" s="23"/>
      <c r="N30" s="17"/>
    </row>
    <row r="31" spans="2:14" ht="3" customHeight="1">
      <c r="B31" s="73"/>
      <c r="C31" s="17"/>
      <c r="D31" s="17"/>
      <c r="E31" s="17"/>
      <c r="F31" s="271"/>
      <c r="G31" s="233"/>
      <c r="H31" s="370"/>
      <c r="I31" s="233"/>
      <c r="J31" s="371"/>
      <c r="K31" s="294"/>
      <c r="L31" s="247"/>
      <c r="M31" s="23"/>
      <c r="N31" s="17"/>
    </row>
    <row r="32" spans="2:14" ht="16.5" customHeight="1">
      <c r="B32" s="73"/>
      <c r="C32" s="17" t="str">
        <f>Texte!A227</f>
        <v>Porcs d'élevage</v>
      </c>
      <c r="D32" s="17"/>
      <c r="E32" s="17"/>
      <c r="F32" s="452"/>
      <c r="G32" s="233" t="s">
        <v>140</v>
      </c>
      <c r="H32" s="368">
        <v>3.2000000000000001E-2</v>
      </c>
      <c r="I32" s="233" t="s">
        <v>141</v>
      </c>
      <c r="J32" s="369">
        <f>F32*H32</f>
        <v>0</v>
      </c>
      <c r="K32" s="294"/>
      <c r="L32" s="247"/>
      <c r="M32" s="23"/>
      <c r="N32" s="17"/>
    </row>
    <row r="33" spans="1:24" ht="3" customHeight="1">
      <c r="B33" s="73"/>
      <c r="C33" s="318"/>
      <c r="D33" s="318"/>
      <c r="E33" s="318"/>
      <c r="F33" s="271"/>
      <c r="G33" s="233"/>
      <c r="H33" s="370"/>
      <c r="I33" s="233"/>
      <c r="J33" s="371"/>
      <c r="K33" s="294"/>
      <c r="L33" s="247"/>
      <c r="M33" s="23"/>
      <c r="N33" s="17"/>
    </row>
    <row r="34" spans="1:24" ht="16.5" customHeight="1">
      <c r="B34" s="73"/>
      <c r="C34" s="743" t="str">
        <f>Texte!A62</f>
        <v>Autres animaux de rente</v>
      </c>
      <c r="D34" s="743"/>
      <c r="E34" s="744"/>
      <c r="F34" s="452"/>
      <c r="G34" s="233" t="s">
        <v>140</v>
      </c>
      <c r="H34" s="368">
        <v>2.7E-2</v>
      </c>
      <c r="I34" s="233" t="s">
        <v>141</v>
      </c>
      <c r="J34" s="369">
        <f>F34*H34</f>
        <v>0</v>
      </c>
      <c r="K34" s="294"/>
      <c r="L34" s="247"/>
      <c r="M34" s="23"/>
      <c r="N34" s="17"/>
    </row>
    <row r="35" spans="1:24" ht="3" customHeight="1">
      <c r="B35" s="73"/>
      <c r="C35" s="318"/>
      <c r="D35" s="318"/>
      <c r="E35" s="318"/>
      <c r="F35" s="263"/>
      <c r="G35" s="233"/>
      <c r="H35" s="370"/>
      <c r="I35" s="233"/>
      <c r="J35" s="371"/>
      <c r="K35" s="294"/>
      <c r="L35" s="247"/>
      <c r="M35" s="23"/>
      <c r="N35" s="17"/>
    </row>
    <row r="36" spans="1:24" ht="24.95" customHeight="1">
      <c r="B36" s="73"/>
      <c r="C36" s="512" t="str">
        <f>Texte!A55</f>
        <v>arbres fruitiers haute-tige (y-compris noyers et châtaigne) (921,922, 923)</v>
      </c>
      <c r="D36" s="520" t="str">
        <f>Texte!A216</f>
        <v>par arbre (QI)</v>
      </c>
      <c r="F36" s="453"/>
      <c r="G36" s="233" t="s">
        <v>140</v>
      </c>
      <c r="H36" s="368">
        <v>1E-3</v>
      </c>
      <c r="I36" s="233" t="s">
        <v>141</v>
      </c>
      <c r="J36" s="369">
        <f>F36*H36</f>
        <v>0</v>
      </c>
      <c r="K36" s="294"/>
      <c r="L36" s="247"/>
      <c r="M36" s="23"/>
      <c r="N36" s="17"/>
    </row>
    <row r="37" spans="1:24" ht="3" customHeight="1">
      <c r="B37" s="73"/>
      <c r="C37" s="17"/>
      <c r="D37" s="17"/>
      <c r="E37" s="17"/>
      <c r="F37" s="17"/>
      <c r="G37" s="17"/>
      <c r="H37" s="17"/>
      <c r="I37" s="23"/>
      <c r="J37" s="17"/>
      <c r="K37" s="72"/>
      <c r="M37" s="23"/>
      <c r="N37" s="17"/>
    </row>
    <row r="38" spans="1:24" ht="17.100000000000001" customHeight="1">
      <c r="B38" s="73"/>
      <c r="C38" s="53" t="str">
        <f>Texte!A271</f>
        <v>Total</v>
      </c>
      <c r="D38" s="17"/>
      <c r="E38" s="17"/>
      <c r="F38" s="182"/>
      <c r="G38" s="182"/>
      <c r="H38" s="251" t="s">
        <v>46</v>
      </c>
      <c r="I38" s="23"/>
      <c r="J38" s="77">
        <f>J10+J12+J14+J16+J18+J20+J22+J24+J26+J28+J30+J32+J34+J36</f>
        <v>0</v>
      </c>
      <c r="K38" s="72"/>
      <c r="M38" s="23"/>
      <c r="N38" s="17"/>
      <c r="O38" s="445"/>
      <c r="P38" s="445"/>
    </row>
    <row r="39" spans="1:24" ht="12" customHeight="1">
      <c r="B39" s="74"/>
      <c r="C39" s="493" t="str">
        <f>Texte!A471</f>
        <v>Minimum pour le versement des PD: 0.2 UMOS</v>
      </c>
      <c r="D39" s="75"/>
      <c r="E39" s="75"/>
      <c r="F39" s="75"/>
      <c r="G39" s="75"/>
      <c r="H39" s="75"/>
      <c r="I39" s="76"/>
      <c r="J39" s="75"/>
      <c r="K39" s="78"/>
      <c r="M39" s="23"/>
      <c r="N39" s="17"/>
      <c r="O39" s="445"/>
      <c r="P39" s="445"/>
    </row>
    <row r="40" spans="1:24" ht="11.25" customHeight="1">
      <c r="B40" s="17"/>
      <c r="C40" s="17"/>
      <c r="D40" s="17"/>
      <c r="E40" s="17"/>
      <c r="F40" s="17"/>
      <c r="G40" s="17"/>
      <c r="H40" s="17"/>
      <c r="I40" s="17"/>
      <c r="J40" s="17"/>
      <c r="K40" s="17"/>
      <c r="L40" s="17"/>
      <c r="M40" s="23"/>
      <c r="N40" s="17"/>
      <c r="O40" s="445"/>
      <c r="P40" s="445"/>
    </row>
    <row r="41" spans="1:24" ht="8.25" customHeight="1">
      <c r="B41" s="17"/>
      <c r="C41" s="17"/>
      <c r="D41" s="17"/>
      <c r="E41" s="17"/>
      <c r="F41" s="17"/>
      <c r="G41" s="17"/>
      <c r="H41" s="17"/>
      <c r="I41" s="17"/>
      <c r="J41" s="17"/>
      <c r="K41" s="17"/>
      <c r="L41" s="17"/>
      <c r="M41" s="23"/>
      <c r="N41" s="17"/>
      <c r="O41" s="17"/>
    </row>
    <row r="42" spans="1:24" s="186" customFormat="1" ht="16.5" customHeight="1">
      <c r="A42" s="182"/>
      <c r="B42" s="79" t="str">
        <f>Texte!A74</f>
        <v>Calcul des réductions de la contribution de transition dues au revenu et à la fortune</v>
      </c>
      <c r="C42" s="219"/>
      <c r="D42" s="219"/>
      <c r="E42" s="219"/>
      <c r="F42" s="80"/>
      <c r="G42" s="80"/>
      <c r="H42" s="80"/>
      <c r="I42" s="80"/>
      <c r="J42" s="80"/>
      <c r="K42" s="80"/>
      <c r="L42" s="80"/>
      <c r="M42" s="81"/>
      <c r="N42" s="82"/>
      <c r="O42" s="83"/>
      <c r="P42" s="137"/>
      <c r="Q42" s="137"/>
      <c r="R42" s="137"/>
      <c r="S42" s="137"/>
      <c r="T42" s="137"/>
      <c r="U42" s="137"/>
      <c r="V42" s="220"/>
      <c r="W42" s="220"/>
      <c r="X42" s="220"/>
    </row>
    <row r="43" spans="1:24" s="197" customFormat="1" ht="17.100000000000001" customHeight="1">
      <c r="A43" s="196"/>
      <c r="B43" s="10"/>
      <c r="C43" s="221" t="str">
        <f>Texte!A176</f>
        <v>Déductions pour le revenu :</v>
      </c>
      <c r="D43" s="221"/>
      <c r="E43" s="84"/>
      <c r="F43" s="85"/>
      <c r="G43" s="55"/>
      <c r="H43" s="55"/>
      <c r="I43" s="55"/>
      <c r="J43" s="55"/>
      <c r="K43" s="55"/>
      <c r="L43" s="55"/>
      <c r="M43" s="56"/>
      <c r="N43" s="50"/>
      <c r="O43" s="99"/>
      <c r="P43" s="373"/>
      <c r="Q43" s="113"/>
      <c r="R43" s="113"/>
      <c r="S43" s="113"/>
      <c r="T43" s="113"/>
      <c r="U43" s="113"/>
      <c r="V43" s="222"/>
      <c r="W43" s="222"/>
      <c r="X43" s="222"/>
    </row>
    <row r="44" spans="1:24" s="197" customFormat="1" ht="17.100000000000001" customHeight="1">
      <c r="A44" s="196"/>
      <c r="B44" s="10"/>
      <c r="C44" s="113" t="str">
        <f>Texte!A247</f>
        <v>Revenu imposable IFD</v>
      </c>
      <c r="D44" s="86"/>
      <c r="E44" s="223"/>
      <c r="F44" s="87"/>
      <c r="G44" s="55"/>
      <c r="H44" s="168"/>
      <c r="I44" s="55"/>
      <c r="J44" s="55"/>
      <c r="K44" s="55"/>
      <c r="L44" s="55"/>
      <c r="M44" s="56"/>
      <c r="N44" s="50"/>
      <c r="O44" s="99"/>
      <c r="P44" s="374"/>
      <c r="Q44" s="113"/>
      <c r="R44" s="113"/>
      <c r="S44" s="113"/>
      <c r="T44" s="113"/>
      <c r="U44" s="113"/>
      <c r="V44" s="222"/>
      <c r="W44" s="222"/>
      <c r="X44" s="222"/>
    </row>
    <row r="45" spans="1:24" s="197" customFormat="1" ht="5.25" customHeight="1">
      <c r="A45" s="196"/>
      <c r="B45" s="17"/>
      <c r="C45" s="55"/>
      <c r="D45" s="55"/>
      <c r="E45" s="55"/>
      <c r="F45" s="113"/>
      <c r="G45" s="55"/>
      <c r="H45" s="55"/>
      <c r="I45" s="55"/>
      <c r="J45" s="47"/>
      <c r="K45" s="56"/>
      <c r="L45" s="88"/>
      <c r="M45" s="56"/>
      <c r="N45" s="89"/>
      <c r="O45" s="99"/>
      <c r="P45" s="374"/>
      <c r="Q45" s="113"/>
      <c r="R45" s="113"/>
      <c r="S45" s="113"/>
      <c r="T45" s="113"/>
      <c r="U45" s="113"/>
      <c r="V45" s="222"/>
      <c r="W45" s="222"/>
      <c r="X45" s="222"/>
    </row>
    <row r="46" spans="1:24" s="197" customFormat="1" ht="17.100000000000001" customHeight="1">
      <c r="A46" s="196"/>
      <c r="B46" s="17"/>
      <c r="C46" s="90" t="str">
        <f>Texte!A24</f>
        <v>- Déduction pour exploitant marié (Fr. 50'000.-)</v>
      </c>
      <c r="D46" s="55"/>
      <c r="E46" s="113"/>
      <c r="F46" s="86"/>
      <c r="G46" s="55"/>
      <c r="H46" s="168"/>
      <c r="I46" s="55"/>
      <c r="J46" s="55"/>
      <c r="K46" s="55"/>
      <c r="L46" s="55"/>
      <c r="M46" s="56"/>
      <c r="N46" s="89"/>
      <c r="O46" s="99"/>
      <c r="P46" s="374"/>
      <c r="Q46" s="113"/>
      <c r="R46" s="113"/>
      <c r="S46" s="113"/>
      <c r="T46" s="113"/>
      <c r="U46" s="113"/>
      <c r="V46" s="222"/>
      <c r="W46" s="222"/>
      <c r="X46" s="222"/>
    </row>
    <row r="47" spans="1:24" s="197" customFormat="1" ht="5.25" customHeight="1">
      <c r="A47" s="196"/>
      <c r="B47" s="17"/>
      <c r="C47" s="55"/>
      <c r="D47" s="55"/>
      <c r="E47" s="55"/>
      <c r="F47" s="113"/>
      <c r="G47" s="55"/>
      <c r="H47" s="55"/>
      <c r="I47" s="55"/>
      <c r="J47" s="47"/>
      <c r="K47" s="56"/>
      <c r="L47" s="88"/>
      <c r="M47" s="56"/>
      <c r="N47" s="89"/>
      <c r="O47" s="99"/>
      <c r="P47" s="374"/>
      <c r="Q47" s="113"/>
      <c r="R47" s="113"/>
      <c r="S47" s="113"/>
      <c r="T47" s="113"/>
      <c r="U47" s="113"/>
      <c r="V47" s="222"/>
      <c r="W47" s="222"/>
      <c r="X47" s="222"/>
    </row>
    <row r="48" spans="1:24" s="197" customFormat="1" ht="16.5" customHeight="1">
      <c r="A48" s="196"/>
      <c r="B48" s="17"/>
      <c r="C48" s="90" t="str">
        <f>Texte!A41</f>
        <v>= Revenu déterminant</v>
      </c>
      <c r="D48" s="113"/>
      <c r="E48" s="113"/>
      <c r="F48" s="86">
        <v>0</v>
      </c>
      <c r="G48" s="55"/>
      <c r="H48" s="91">
        <f>H44-H46</f>
        <v>0</v>
      </c>
      <c r="I48" s="55"/>
      <c r="J48" s="55"/>
      <c r="K48" s="55"/>
      <c r="L48" s="55"/>
      <c r="M48" s="56"/>
      <c r="N48" s="89"/>
      <c r="O48" s="99"/>
      <c r="P48" s="374"/>
      <c r="Q48" s="113"/>
      <c r="R48" s="113"/>
      <c r="S48" s="113"/>
      <c r="T48" s="113"/>
      <c r="U48" s="113"/>
      <c r="V48" s="222"/>
      <c r="W48" s="222"/>
      <c r="X48" s="222"/>
    </row>
    <row r="49" spans="1:24" s="197" customFormat="1" ht="4.5" customHeight="1">
      <c r="A49" s="196"/>
      <c r="B49" s="17"/>
      <c r="C49" s="55"/>
      <c r="D49" s="55"/>
      <c r="E49" s="55"/>
      <c r="F49" s="55"/>
      <c r="G49" s="55"/>
      <c r="H49" s="55"/>
      <c r="I49" s="55"/>
      <c r="J49" s="55"/>
      <c r="K49" s="55"/>
      <c r="L49" s="55"/>
      <c r="M49" s="56"/>
      <c r="N49" s="89"/>
      <c r="O49" s="99"/>
      <c r="P49" s="374"/>
      <c r="Q49" s="113"/>
      <c r="R49" s="113"/>
      <c r="S49" s="113"/>
      <c r="T49" s="113"/>
      <c r="U49" s="113"/>
      <c r="V49" s="222"/>
      <c r="W49" s="222"/>
      <c r="X49" s="222"/>
    </row>
    <row r="50" spans="1:24" s="197" customFormat="1" ht="4.5" customHeight="1">
      <c r="A50" s="196"/>
      <c r="B50" s="17"/>
      <c r="C50" s="55"/>
      <c r="D50" s="55"/>
      <c r="E50" s="55"/>
      <c r="F50" s="55"/>
      <c r="G50" s="55"/>
      <c r="H50" s="55"/>
      <c r="I50" s="55"/>
      <c r="J50" s="55"/>
      <c r="K50" s="55"/>
      <c r="L50" s="55"/>
      <c r="M50" s="56"/>
      <c r="N50" s="89"/>
      <c r="O50" s="99"/>
      <c r="P50" s="374"/>
      <c r="Q50" s="113"/>
      <c r="R50" s="113"/>
      <c r="S50" s="113"/>
      <c r="T50" s="113"/>
      <c r="U50" s="113"/>
      <c r="V50" s="222"/>
      <c r="W50" s="222"/>
      <c r="X50" s="222"/>
    </row>
    <row r="51" spans="1:24" s="197" customFormat="1" ht="17.100000000000001" customHeight="1">
      <c r="A51" s="196"/>
      <c r="B51" s="17"/>
      <c r="C51" s="55" t="str">
        <f>Texte!A174</f>
        <v>Déduction pour la part de revenu supérieure à 80'000 :</v>
      </c>
      <c r="D51" s="55"/>
      <c r="E51" s="55"/>
      <c r="F51" s="113"/>
      <c r="G51" s="93" t="s">
        <v>51</v>
      </c>
      <c r="H51" s="91">
        <f>IF(H48&gt;80000,H48,0)</f>
        <v>0</v>
      </c>
      <c r="I51" s="55" t="s">
        <v>36</v>
      </c>
      <c r="J51" s="50">
        <v>80000</v>
      </c>
      <c r="K51" s="56" t="s">
        <v>165</v>
      </c>
      <c r="L51" s="95">
        <v>0.2</v>
      </c>
      <c r="M51" s="56" t="s">
        <v>141</v>
      </c>
      <c r="N51" s="735">
        <f>IF(H51=0,0,(H51-J51)*L51)</f>
        <v>0</v>
      </c>
      <c r="O51" s="736"/>
      <c r="P51" s="374"/>
      <c r="Q51" s="113"/>
      <c r="R51" s="113"/>
      <c r="S51" s="113"/>
      <c r="T51" s="113"/>
      <c r="U51" s="113"/>
      <c r="V51" s="222"/>
      <c r="W51" s="222"/>
      <c r="X51" s="222"/>
    </row>
    <row r="52" spans="1:24" s="113" customFormat="1" ht="4.5" customHeight="1">
      <c r="A52" s="224"/>
      <c r="B52" s="55"/>
      <c r="C52" s="55"/>
      <c r="D52" s="55"/>
      <c r="E52" s="55"/>
      <c r="G52" s="93"/>
      <c r="H52" s="86"/>
      <c r="I52" s="55"/>
      <c r="J52" s="50"/>
      <c r="K52" s="56"/>
      <c r="L52" s="95"/>
      <c r="M52" s="56"/>
      <c r="N52" s="89"/>
      <c r="O52" s="99"/>
      <c r="P52" s="374"/>
    </row>
    <row r="53" spans="1:24" s="197" customFormat="1" ht="5.25" customHeight="1">
      <c r="A53" s="196"/>
      <c r="B53" s="17"/>
      <c r="C53" s="55"/>
      <c r="D53" s="55"/>
      <c r="E53" s="55"/>
      <c r="F53" s="113"/>
      <c r="G53" s="55"/>
      <c r="H53" s="55"/>
      <c r="I53" s="55"/>
      <c r="J53" s="47"/>
      <c r="K53" s="56"/>
      <c r="L53" s="88"/>
      <c r="M53" s="56"/>
      <c r="N53" s="89"/>
      <c r="O53" s="99"/>
      <c r="P53" s="374"/>
      <c r="Q53" s="113"/>
      <c r="R53" s="113"/>
      <c r="S53" s="113"/>
      <c r="T53" s="113"/>
      <c r="U53" s="113"/>
      <c r="V53" s="222"/>
      <c r="W53" s="222"/>
      <c r="X53" s="222"/>
    </row>
    <row r="54" spans="1:24" s="197" customFormat="1" ht="18.75" customHeight="1">
      <c r="A54" s="196"/>
      <c r="B54" s="17"/>
      <c r="C54" s="92" t="str">
        <f>Texte!A271</f>
        <v>Total</v>
      </c>
      <c r="D54" s="55"/>
      <c r="E54" s="55"/>
      <c r="F54" s="113"/>
      <c r="G54" s="55"/>
      <c r="H54" s="55"/>
      <c r="I54" s="55"/>
      <c r="J54" s="47"/>
      <c r="K54" s="56"/>
      <c r="L54" s="98"/>
      <c r="M54" s="56" t="s">
        <v>141</v>
      </c>
      <c r="N54" s="737">
        <f>N51</f>
        <v>0</v>
      </c>
      <c r="O54" s="738"/>
      <c r="P54" s="374"/>
      <c r="Q54" s="113"/>
      <c r="R54" s="113"/>
      <c r="S54" s="113"/>
      <c r="T54" s="113"/>
      <c r="U54" s="113"/>
      <c r="V54" s="222"/>
      <c r="W54" s="222"/>
      <c r="X54" s="222"/>
    </row>
    <row r="55" spans="1:24" s="197" customFormat="1" ht="20.25" customHeight="1">
      <c r="A55" s="196"/>
      <c r="B55" s="17"/>
      <c r="C55" s="92" t="str">
        <f>Texte!A175</f>
        <v>Déductions pour la fortune :</v>
      </c>
      <c r="D55" s="92"/>
      <c r="E55" s="84"/>
      <c r="F55" s="55"/>
      <c r="G55" s="55"/>
      <c r="H55" s="55"/>
      <c r="I55" s="55"/>
      <c r="J55" s="55"/>
      <c r="K55" s="55"/>
      <c r="L55" s="55"/>
      <c r="M55" s="56"/>
      <c r="N55" s="89"/>
      <c r="O55" s="99"/>
      <c r="P55" s="374"/>
      <c r="Q55" s="113"/>
      <c r="R55" s="113"/>
      <c r="S55" s="113"/>
      <c r="T55" s="113"/>
      <c r="U55" s="113"/>
      <c r="V55" s="222"/>
      <c r="W55" s="222"/>
      <c r="X55" s="222"/>
    </row>
    <row r="56" spans="1:24" s="197" customFormat="1" ht="17.100000000000001" customHeight="1">
      <c r="A56" s="196"/>
      <c r="B56" s="17"/>
      <c r="C56" s="113" t="str">
        <f>Texte!A179</f>
        <v>Fortune imposable</v>
      </c>
      <c r="D56" s="86"/>
      <c r="E56" s="223"/>
      <c r="F56" s="87"/>
      <c r="G56" s="55"/>
      <c r="H56" s="168"/>
      <c r="I56" s="55"/>
      <c r="J56" s="55"/>
      <c r="K56" s="55"/>
      <c r="L56" s="55"/>
      <c r="M56" s="56"/>
      <c r="N56" s="89"/>
      <c r="O56" s="99"/>
      <c r="P56" s="374"/>
      <c r="Q56" s="113"/>
      <c r="R56" s="113"/>
      <c r="S56" s="113"/>
      <c r="T56" s="113"/>
      <c r="U56" s="113"/>
      <c r="V56" s="222"/>
      <c r="W56" s="222"/>
      <c r="X56" s="222"/>
    </row>
    <row r="57" spans="1:24" s="197" customFormat="1" ht="4.5" customHeight="1">
      <c r="A57" s="196"/>
      <c r="B57" s="17"/>
      <c r="C57" s="55"/>
      <c r="D57" s="55"/>
      <c r="E57" s="55"/>
      <c r="F57" s="55"/>
      <c r="G57" s="55"/>
      <c r="H57" s="55"/>
      <c r="I57" s="55"/>
      <c r="J57" s="55"/>
      <c r="K57" s="55"/>
      <c r="L57" s="55"/>
      <c r="M57" s="56"/>
      <c r="N57" s="89"/>
      <c r="O57" s="99"/>
      <c r="P57" s="374"/>
      <c r="Q57" s="113"/>
      <c r="R57" s="113"/>
      <c r="S57" s="113"/>
      <c r="T57" s="113"/>
      <c r="U57" s="113"/>
      <c r="V57" s="222"/>
      <c r="W57" s="222"/>
      <c r="X57" s="222"/>
    </row>
    <row r="58" spans="1:24" s="197" customFormat="1" ht="17.100000000000001" customHeight="1">
      <c r="A58" s="196"/>
      <c r="B58" s="17"/>
      <c r="C58" s="90" t="str">
        <f>Texte!A23</f>
        <v>- Déduction pour exploitant marié (Fr. 340'000.-)</v>
      </c>
      <c r="D58" s="55"/>
      <c r="E58" s="113"/>
      <c r="F58" s="86"/>
      <c r="G58" s="55"/>
      <c r="H58" s="168"/>
      <c r="I58" s="55"/>
      <c r="J58" s="55"/>
      <c r="K58" s="55"/>
      <c r="L58" s="55"/>
      <c r="M58" s="56"/>
      <c r="N58" s="89"/>
      <c r="O58" s="99"/>
      <c r="P58" s="374"/>
      <c r="Q58" s="113"/>
      <c r="R58" s="113"/>
      <c r="S58" s="113"/>
      <c r="T58" s="113"/>
      <c r="U58" s="113"/>
      <c r="V58" s="222"/>
      <c r="W58" s="222"/>
      <c r="X58" s="222"/>
    </row>
    <row r="59" spans="1:24" s="197" customFormat="1" ht="4.5" customHeight="1">
      <c r="A59" s="196"/>
      <c r="B59" s="17"/>
      <c r="C59" s="55"/>
      <c r="D59" s="55"/>
      <c r="E59" s="55"/>
      <c r="F59" s="55"/>
      <c r="G59" s="55"/>
      <c r="H59" s="55"/>
      <c r="I59" s="55"/>
      <c r="J59" s="55"/>
      <c r="K59" s="55"/>
      <c r="L59" s="55"/>
      <c r="M59" s="56"/>
      <c r="N59" s="89"/>
      <c r="O59" s="99"/>
      <c r="P59" s="374"/>
      <c r="Q59" s="113"/>
      <c r="R59" s="113"/>
      <c r="S59" s="113"/>
      <c r="T59" s="113"/>
      <c r="U59" s="113"/>
      <c r="V59" s="222"/>
      <c r="W59" s="222"/>
      <c r="X59" s="222"/>
    </row>
    <row r="60" spans="1:24" s="197" customFormat="1" ht="15.75" customHeight="1">
      <c r="A60" s="196"/>
      <c r="B60" s="17"/>
      <c r="C60" s="90" t="str">
        <f>Texte!A22</f>
        <v>- Déduction par UMOS a)</v>
      </c>
      <c r="D60" s="289">
        <f>J38</f>
        <v>0</v>
      </c>
      <c r="E60" s="56" t="str">
        <f>Texte!A291</f>
        <v>UMOS x</v>
      </c>
      <c r="F60" s="94">
        <v>270000</v>
      </c>
      <c r="G60" s="55" t="s">
        <v>141</v>
      </c>
      <c r="H60" s="96">
        <f>D60*F60</f>
        <v>0</v>
      </c>
      <c r="I60" s="55"/>
      <c r="J60" s="55"/>
      <c r="K60" s="55"/>
      <c r="L60" s="55"/>
      <c r="M60" s="56"/>
      <c r="N60" s="89"/>
      <c r="O60" s="99"/>
      <c r="P60" s="374"/>
      <c r="Q60" s="113"/>
      <c r="R60" s="113"/>
      <c r="S60" s="113"/>
      <c r="T60" s="113"/>
      <c r="U60" s="113"/>
      <c r="V60" s="222"/>
      <c r="W60" s="222"/>
      <c r="X60" s="222"/>
    </row>
    <row r="61" spans="1:24" s="197" customFormat="1" ht="6.75" customHeight="1">
      <c r="A61" s="196"/>
      <c r="B61" s="17"/>
      <c r="C61" s="55"/>
      <c r="D61" s="86"/>
      <c r="E61" s="56"/>
      <c r="F61" s="50"/>
      <c r="G61" s="55"/>
      <c r="H61" s="97"/>
      <c r="I61" s="55"/>
      <c r="J61" s="55"/>
      <c r="K61" s="55"/>
      <c r="L61" s="55"/>
      <c r="M61" s="56"/>
      <c r="N61" s="89"/>
      <c r="O61" s="99"/>
      <c r="P61" s="374"/>
      <c r="Q61" s="113"/>
      <c r="R61" s="113"/>
      <c r="S61" s="113"/>
      <c r="T61" s="113"/>
      <c r="U61" s="113"/>
      <c r="V61" s="222"/>
      <c r="W61" s="222"/>
      <c r="X61" s="222"/>
    </row>
    <row r="62" spans="1:24" s="197" customFormat="1" ht="16.5" customHeight="1">
      <c r="A62" s="196"/>
      <c r="B62" s="17"/>
      <c r="C62" s="225" t="str">
        <f>Texte!A40</f>
        <v>= Fortune déterminante</v>
      </c>
      <c r="D62" s="113"/>
      <c r="E62" s="113"/>
      <c r="F62" s="86">
        <v>0</v>
      </c>
      <c r="G62" s="55"/>
      <c r="H62" s="91">
        <f>IF((H56-H58-H60)&gt;0,H56-H58-H60,0)</f>
        <v>0</v>
      </c>
      <c r="I62" s="55"/>
      <c r="J62" s="55"/>
      <c r="K62" s="55"/>
      <c r="L62" s="55"/>
      <c r="M62" s="56"/>
      <c r="N62" s="89"/>
      <c r="O62" s="99"/>
      <c r="P62" s="374"/>
      <c r="Q62" s="113"/>
      <c r="R62" s="113"/>
      <c r="S62" s="113"/>
      <c r="T62" s="113"/>
      <c r="U62" s="113"/>
      <c r="V62" s="222"/>
      <c r="W62" s="222"/>
      <c r="X62" s="222"/>
    </row>
    <row r="63" spans="1:24" s="197" customFormat="1" ht="4.5" customHeight="1">
      <c r="A63" s="196"/>
      <c r="B63" s="17"/>
      <c r="C63" s="55"/>
      <c r="D63" s="55"/>
      <c r="E63" s="55"/>
      <c r="F63" s="55"/>
      <c r="G63" s="55"/>
      <c r="H63" s="55"/>
      <c r="I63" s="55"/>
      <c r="J63" s="55"/>
      <c r="K63" s="55"/>
      <c r="L63" s="55"/>
      <c r="M63" s="56"/>
      <c r="N63" s="89"/>
      <c r="O63" s="99"/>
      <c r="P63" s="374"/>
      <c r="Q63" s="113"/>
      <c r="R63" s="113"/>
      <c r="S63" s="113"/>
      <c r="T63" s="113"/>
      <c r="U63" s="113"/>
      <c r="V63" s="222"/>
      <c r="W63" s="222"/>
      <c r="X63" s="222"/>
    </row>
    <row r="64" spans="1:24" s="197" customFormat="1" ht="4.5" customHeight="1">
      <c r="A64" s="196"/>
      <c r="B64" s="17"/>
      <c r="C64" s="55"/>
      <c r="D64" s="55"/>
      <c r="E64" s="55"/>
      <c r="F64" s="55"/>
      <c r="G64" s="55"/>
      <c r="H64" s="55"/>
      <c r="I64" s="55"/>
      <c r="J64" s="55"/>
      <c r="K64" s="55"/>
      <c r="L64" s="55"/>
      <c r="M64" s="56"/>
      <c r="N64" s="89"/>
      <c r="O64" s="99"/>
      <c r="P64" s="374"/>
      <c r="Q64" s="113"/>
      <c r="R64" s="113"/>
      <c r="S64" s="113"/>
      <c r="T64" s="113"/>
      <c r="U64" s="113"/>
      <c r="V64" s="222"/>
      <c r="W64" s="222"/>
      <c r="X64" s="222"/>
    </row>
    <row r="65" spans="1:24" s="244" customFormat="1" ht="30" customHeight="1">
      <c r="A65" s="260"/>
      <c r="B65" s="143"/>
      <c r="C65" s="730" t="str">
        <f>Texte!A172</f>
        <v>Déduction pour la part de fortune entre 800'000 et 1'000'000 :</v>
      </c>
      <c r="D65" s="656"/>
      <c r="E65" s="656"/>
      <c r="F65" s="656"/>
      <c r="G65" s="261" t="s">
        <v>51</v>
      </c>
      <c r="H65" s="262">
        <f>IF(H62&gt;800000,IF(H62&lt;=1000000,H62,0),0)</f>
        <v>0</v>
      </c>
      <c r="I65" s="99" t="s">
        <v>36</v>
      </c>
      <c r="J65" s="372">
        <v>800000</v>
      </c>
      <c r="K65" s="263" t="s">
        <v>165</v>
      </c>
      <c r="L65" s="264">
        <v>0.1</v>
      </c>
      <c r="M65" s="265" t="s">
        <v>125</v>
      </c>
      <c r="N65" s="733">
        <f>IF(H62&lt;800000,0,IF(H62&lt;=1000000,(H65-J65)*L65,0))</f>
        <v>0</v>
      </c>
      <c r="O65" s="734"/>
      <c r="P65" s="374"/>
      <c r="Q65" s="266"/>
      <c r="R65" s="266"/>
      <c r="S65" s="266"/>
      <c r="T65" s="266"/>
      <c r="U65" s="266"/>
      <c r="V65" s="267"/>
      <c r="W65" s="267"/>
      <c r="X65" s="267"/>
    </row>
    <row r="66" spans="1:24" s="197" customFormat="1" ht="30" customHeight="1">
      <c r="A66" s="196"/>
      <c r="B66" s="17"/>
      <c r="C66" s="730" t="str">
        <f>Texte!A251</f>
        <v>Si la fortune déterminante dépasse 1'000'000, déduction de 100% de la contribution de transition</v>
      </c>
      <c r="D66" s="656"/>
      <c r="E66" s="656"/>
      <c r="F66" s="656"/>
      <c r="G66" s="55"/>
      <c r="H66" s="55"/>
      <c r="I66" s="55"/>
      <c r="J66" s="47"/>
      <c r="K66" s="99"/>
      <c r="L66" s="88"/>
      <c r="M66" s="100"/>
      <c r="N66" s="733">
        <f>IF(H62&lt;=1000000,0,IF(Transition!M9=0,0,Transition!O13-N54))</f>
        <v>0</v>
      </c>
      <c r="O66" s="734"/>
      <c r="P66" s="374"/>
      <c r="Q66" s="113"/>
      <c r="R66" s="113"/>
      <c r="S66" s="113"/>
      <c r="T66" s="113"/>
      <c r="U66" s="113"/>
      <c r="V66" s="222"/>
      <c r="W66" s="222"/>
      <c r="X66" s="222"/>
    </row>
    <row r="67" spans="1:24" s="113" customFormat="1" ht="11.25" customHeight="1">
      <c r="A67" s="224"/>
      <c r="B67" s="80"/>
      <c r="C67" s="101"/>
      <c r="D67" s="80"/>
      <c r="E67" s="80"/>
      <c r="F67" s="202"/>
      <c r="G67" s="80"/>
      <c r="H67" s="102"/>
      <c r="I67" s="80"/>
      <c r="J67" s="82"/>
      <c r="K67" s="81"/>
      <c r="L67" s="103"/>
      <c r="M67" s="81"/>
      <c r="N67" s="376"/>
      <c r="O67" s="377"/>
      <c r="P67" s="375"/>
    </row>
    <row r="68" spans="1:24" s="220" customFormat="1" ht="17.100000000000001" customHeight="1">
      <c r="A68" s="181"/>
      <c r="B68" s="55"/>
      <c r="C68" s="104"/>
      <c r="D68" s="104"/>
      <c r="E68" s="104"/>
      <c r="F68" s="104"/>
      <c r="G68" s="104"/>
      <c r="H68" s="104"/>
      <c r="I68" s="104"/>
      <c r="J68" s="151"/>
      <c r="K68" s="105"/>
      <c r="L68" s="106"/>
      <c r="M68" s="107"/>
      <c r="N68" s="108"/>
      <c r="O68" s="109"/>
      <c r="P68" s="109"/>
      <c r="Q68" s="137"/>
      <c r="R68" s="137"/>
      <c r="S68" s="137"/>
      <c r="T68" s="137"/>
      <c r="U68" s="137"/>
    </row>
    <row r="69" spans="1:24" s="181" customFormat="1" ht="30" customHeight="1">
      <c r="B69" s="55"/>
      <c r="C69" s="702" t="str">
        <f>Texte!A327</f>
        <v>Etat selon modifications d'ordonnances dans le cadre de l'initiative parlementaire 19.475 d'avril 2022. 
AGRIDEA décline toute responsabilité quant aux conséquences de l’utilisation de cet outil.                                                          Version 4.9.3</v>
      </c>
      <c r="D69" s="702"/>
      <c r="E69" s="702"/>
      <c r="F69" s="702"/>
      <c r="G69" s="702"/>
      <c r="H69" s="702"/>
      <c r="I69" s="702"/>
      <c r="J69" s="702"/>
      <c r="K69" s="702"/>
      <c r="L69" s="702"/>
      <c r="M69" s="702"/>
      <c r="N69" s="702"/>
      <c r="O69" s="702"/>
      <c r="P69" s="269"/>
      <c r="Q69" s="226"/>
      <c r="R69" s="226"/>
      <c r="S69" s="226"/>
      <c r="T69" s="226"/>
      <c r="U69" s="226"/>
    </row>
    <row r="70" spans="1:24" s="181" customFormat="1" ht="17.100000000000001" customHeight="1">
      <c r="B70" s="55"/>
      <c r="C70" s="55"/>
      <c r="D70" s="55"/>
      <c r="E70" s="55"/>
      <c r="F70" s="55"/>
      <c r="G70" s="55"/>
      <c r="H70" s="55"/>
      <c r="I70" s="55"/>
      <c r="J70" s="55"/>
      <c r="K70" s="55"/>
      <c r="L70" s="55"/>
      <c r="M70" s="56"/>
      <c r="N70" s="55"/>
      <c r="O70" s="55"/>
      <c r="P70" s="226"/>
      <c r="Q70" s="226"/>
      <c r="R70" s="226"/>
      <c r="S70" s="226"/>
      <c r="T70" s="226"/>
      <c r="U70" s="226"/>
    </row>
    <row r="71" spans="1:24" s="181" customFormat="1" ht="17.100000000000001" customHeight="1">
      <c r="B71" s="55"/>
      <c r="C71" s="55"/>
      <c r="D71" s="55"/>
      <c r="E71" s="55"/>
      <c r="F71" s="55"/>
      <c r="G71" s="55"/>
      <c r="H71" s="55"/>
      <c r="I71" s="55"/>
      <c r="J71" s="55"/>
      <c r="K71" s="55"/>
      <c r="L71" s="55"/>
      <c r="M71" s="56"/>
      <c r="N71" s="55"/>
      <c r="O71" s="55"/>
      <c r="P71" s="226"/>
      <c r="Q71" s="226"/>
      <c r="R71" s="226"/>
      <c r="S71" s="226"/>
      <c r="T71" s="226"/>
      <c r="U71" s="226"/>
    </row>
    <row r="72" spans="1:24" s="181" customFormat="1" ht="17.100000000000001" customHeight="1">
      <c r="B72" s="55"/>
      <c r="C72" s="55"/>
      <c r="D72" s="55"/>
      <c r="E72" s="55"/>
      <c r="F72" s="55"/>
      <c r="G72" s="55"/>
      <c r="H72" s="55"/>
      <c r="I72" s="55"/>
      <c r="J72" s="55"/>
      <c r="K72" s="55"/>
      <c r="L72" s="55"/>
      <c r="M72" s="56"/>
      <c r="N72" s="55"/>
      <c r="O72" s="55"/>
      <c r="P72" s="226"/>
      <c r="Q72" s="226"/>
      <c r="R72" s="226"/>
      <c r="S72" s="226"/>
      <c r="T72" s="226"/>
      <c r="U72" s="226"/>
    </row>
    <row r="73" spans="1:24" s="181" customFormat="1" ht="17.100000000000001" customHeight="1">
      <c r="B73" s="55"/>
      <c r="C73" s="55"/>
      <c r="D73" s="55"/>
      <c r="E73" s="55"/>
      <c r="F73" s="55"/>
      <c r="G73" s="55"/>
      <c r="H73" s="55"/>
      <c r="I73" s="55"/>
      <c r="J73" s="55"/>
      <c r="K73" s="55"/>
      <c r="L73" s="55"/>
      <c r="M73" s="56"/>
      <c r="N73" s="55"/>
      <c r="O73" s="55"/>
      <c r="P73" s="226"/>
      <c r="Q73" s="226"/>
      <c r="R73" s="226"/>
      <c r="S73" s="226"/>
      <c r="T73" s="226"/>
      <c r="U73" s="226"/>
    </row>
    <row r="74" spans="1:24" s="181" customFormat="1" ht="17.100000000000001" customHeight="1">
      <c r="B74" s="55"/>
      <c r="C74" s="55"/>
      <c r="D74" s="55"/>
      <c r="E74" s="55"/>
      <c r="F74" s="55"/>
      <c r="G74" s="55"/>
      <c r="H74" s="55"/>
      <c r="I74" s="55"/>
      <c r="J74" s="55"/>
      <c r="K74" s="55"/>
      <c r="L74" s="55"/>
      <c r="M74" s="56"/>
      <c r="N74" s="55"/>
      <c r="O74" s="55"/>
      <c r="P74" s="226"/>
      <c r="Q74" s="226"/>
      <c r="R74" s="226"/>
      <c r="S74" s="226"/>
      <c r="T74" s="226"/>
      <c r="U74" s="226"/>
    </row>
    <row r="75" spans="1:24" s="181" customFormat="1" ht="17.100000000000001" customHeight="1">
      <c r="B75" s="55"/>
      <c r="C75" s="55"/>
      <c r="D75" s="55"/>
      <c r="E75" s="55"/>
      <c r="F75" s="55"/>
      <c r="G75" s="55"/>
      <c r="H75" s="55"/>
      <c r="I75" s="55"/>
      <c r="J75" s="55"/>
      <c r="K75" s="55"/>
      <c r="L75" s="55"/>
      <c r="M75" s="56"/>
      <c r="N75" s="55"/>
      <c r="O75" s="55"/>
      <c r="P75" s="226"/>
      <c r="Q75" s="226"/>
      <c r="R75" s="226"/>
      <c r="S75" s="226"/>
      <c r="T75" s="226"/>
      <c r="U75" s="226"/>
    </row>
    <row r="76" spans="1:24" s="181" customFormat="1" ht="17.100000000000001" customHeight="1">
      <c r="B76" s="55"/>
      <c r="C76" s="55"/>
      <c r="D76" s="55"/>
      <c r="E76" s="55"/>
      <c r="F76" s="55"/>
      <c r="G76" s="55"/>
      <c r="H76" s="55"/>
      <c r="I76" s="55"/>
      <c r="J76" s="55"/>
      <c r="K76" s="55"/>
      <c r="L76" s="55"/>
      <c r="M76" s="56"/>
      <c r="N76" s="55"/>
      <c r="O76" s="55"/>
    </row>
    <row r="77" spans="1:24" s="181" customFormat="1" ht="17.100000000000001" customHeight="1">
      <c r="B77" s="55"/>
      <c r="C77" s="55"/>
      <c r="D77" s="55"/>
      <c r="E77" s="55"/>
      <c r="F77" s="55"/>
      <c r="G77" s="55"/>
      <c r="H77" s="55"/>
      <c r="I77" s="55"/>
      <c r="J77" s="55"/>
      <c r="K77" s="55"/>
      <c r="L77" s="55"/>
      <c r="M77" s="56"/>
      <c r="N77" s="55"/>
      <c r="O77" s="55"/>
    </row>
    <row r="78" spans="1:24" s="181" customFormat="1" ht="17.100000000000001" customHeight="1">
      <c r="B78" s="55"/>
      <c r="C78" s="55"/>
      <c r="D78" s="55"/>
      <c r="E78" s="55"/>
      <c r="F78" s="55"/>
      <c r="G78" s="55"/>
      <c r="H78" s="55"/>
      <c r="I78" s="55"/>
      <c r="J78" s="55"/>
      <c r="K78" s="55"/>
      <c r="L78" s="55"/>
      <c r="M78" s="56"/>
      <c r="N78" s="55"/>
      <c r="O78" s="55"/>
    </row>
    <row r="79" spans="1:24" s="181" customFormat="1" ht="17.100000000000001" customHeight="1">
      <c r="B79" s="55"/>
      <c r="C79" s="55"/>
      <c r="D79" s="55"/>
      <c r="E79" s="55"/>
      <c r="F79" s="55"/>
      <c r="G79" s="55"/>
      <c r="H79" s="55"/>
      <c r="I79" s="55"/>
      <c r="J79" s="55"/>
      <c r="K79" s="55"/>
      <c r="L79" s="55"/>
      <c r="M79" s="56"/>
      <c r="N79" s="55"/>
      <c r="O79" s="55"/>
    </row>
    <row r="80" spans="1:24" s="181" customFormat="1" ht="14.1" customHeight="1">
      <c r="B80" s="55"/>
      <c r="C80" s="55"/>
      <c r="D80" s="55"/>
      <c r="E80" s="55"/>
      <c r="F80" s="55"/>
      <c r="G80" s="55"/>
      <c r="H80" s="55"/>
      <c r="I80" s="55"/>
      <c r="J80" s="55"/>
      <c r="K80" s="55"/>
      <c r="L80" s="55"/>
      <c r="M80" s="56"/>
      <c r="N80" s="55"/>
      <c r="O80" s="55"/>
    </row>
    <row r="81" spans="2:15" s="181" customFormat="1" ht="14.1" customHeight="1">
      <c r="B81" s="55"/>
      <c r="C81" s="55"/>
      <c r="D81" s="55"/>
      <c r="E81" s="55"/>
      <c r="F81" s="55"/>
      <c r="G81" s="55"/>
      <c r="H81" s="55"/>
      <c r="I81" s="55"/>
      <c r="J81" s="55"/>
      <c r="K81" s="55"/>
      <c r="L81" s="55"/>
      <c r="M81" s="56"/>
      <c r="N81" s="55"/>
      <c r="O81" s="55"/>
    </row>
    <row r="82" spans="2:15" s="181" customFormat="1" ht="14.1" customHeight="1">
      <c r="B82" s="55"/>
      <c r="C82" s="55"/>
      <c r="D82" s="55"/>
      <c r="E82" s="55"/>
      <c r="F82" s="55"/>
      <c r="G82" s="55"/>
      <c r="H82" s="55"/>
      <c r="I82" s="55"/>
      <c r="J82" s="55"/>
      <c r="K82" s="55"/>
      <c r="L82" s="55"/>
      <c r="M82" s="56"/>
      <c r="N82" s="55"/>
      <c r="O82" s="55"/>
    </row>
    <row r="83" spans="2:15" s="181" customFormat="1" ht="14.1" customHeight="1">
      <c r="B83" s="55"/>
      <c r="C83" s="55"/>
      <c r="D83" s="55"/>
      <c r="E83" s="55"/>
      <c r="F83" s="55"/>
      <c r="G83" s="55"/>
      <c r="H83" s="55"/>
      <c r="I83" s="55"/>
      <c r="J83" s="55"/>
      <c r="K83" s="55"/>
      <c r="L83" s="55"/>
      <c r="M83" s="56"/>
      <c r="N83" s="55"/>
      <c r="O83" s="55"/>
    </row>
    <row r="84" spans="2:15" s="181" customFormat="1" ht="14.1" customHeight="1">
      <c r="B84" s="55"/>
      <c r="C84" s="55"/>
      <c r="D84" s="55"/>
      <c r="E84" s="55"/>
      <c r="F84" s="55"/>
      <c r="G84" s="55"/>
      <c r="H84" s="55"/>
      <c r="I84" s="55"/>
      <c r="J84" s="55"/>
      <c r="K84" s="55"/>
      <c r="L84" s="55"/>
      <c r="M84" s="56"/>
      <c r="N84" s="55"/>
      <c r="O84" s="55"/>
    </row>
    <row r="85" spans="2:15" s="181" customFormat="1" ht="14.1" customHeight="1">
      <c r="B85" s="55"/>
      <c r="C85" s="55"/>
      <c r="D85" s="55"/>
      <c r="E85" s="55"/>
      <c r="F85" s="55"/>
      <c r="G85" s="55"/>
      <c r="H85" s="55"/>
      <c r="I85" s="55"/>
      <c r="J85" s="55"/>
      <c r="K85" s="55"/>
      <c r="L85" s="55"/>
      <c r="M85" s="56"/>
      <c r="N85" s="55"/>
      <c r="O85" s="55"/>
    </row>
    <row r="86" spans="2:15" s="181" customFormat="1" ht="14.1" customHeight="1">
      <c r="B86" s="55"/>
      <c r="C86" s="55"/>
      <c r="D86" s="55"/>
      <c r="E86" s="55"/>
      <c r="F86" s="55"/>
      <c r="G86" s="55"/>
      <c r="H86" s="55"/>
      <c r="I86" s="55"/>
      <c r="J86" s="55"/>
      <c r="K86" s="55"/>
      <c r="L86" s="55"/>
      <c r="M86" s="56"/>
      <c r="N86" s="55"/>
      <c r="O86" s="55"/>
    </row>
    <row r="87" spans="2:15" s="181" customFormat="1" ht="14.1" customHeight="1">
      <c r="B87" s="55"/>
      <c r="C87" s="55"/>
      <c r="D87" s="55"/>
      <c r="E87" s="55"/>
      <c r="F87" s="55"/>
      <c r="G87" s="55"/>
      <c r="H87" s="55"/>
      <c r="I87" s="55"/>
      <c r="J87" s="55"/>
      <c r="K87" s="55"/>
      <c r="L87" s="55"/>
      <c r="M87" s="56"/>
      <c r="N87" s="55"/>
      <c r="O87" s="55"/>
    </row>
    <row r="88" spans="2:15" s="181" customFormat="1" ht="14.1" customHeight="1">
      <c r="B88" s="55"/>
      <c r="C88" s="55"/>
      <c r="D88" s="55"/>
      <c r="E88" s="55"/>
      <c r="F88" s="55"/>
      <c r="G88" s="55"/>
      <c r="H88" s="55"/>
      <c r="I88" s="55"/>
      <c r="J88" s="55"/>
      <c r="K88" s="55"/>
      <c r="L88" s="55"/>
      <c r="M88" s="56"/>
      <c r="N88" s="55"/>
      <c r="O88" s="55"/>
    </row>
    <row r="89" spans="2:15" s="181" customFormat="1" ht="14.1" customHeight="1">
      <c r="B89" s="55"/>
      <c r="C89" s="55"/>
      <c r="D89" s="55"/>
      <c r="E89" s="55"/>
      <c r="F89" s="55"/>
      <c r="G89" s="55"/>
      <c r="H89" s="55"/>
      <c r="I89" s="55"/>
      <c r="J89" s="55"/>
      <c r="K89" s="55"/>
      <c r="L89" s="55"/>
      <c r="M89" s="56"/>
      <c r="N89" s="55"/>
      <c r="O89" s="55"/>
    </row>
    <row r="90" spans="2:15" s="181" customFormat="1" ht="14.1" customHeight="1">
      <c r="B90" s="55"/>
      <c r="C90" s="55"/>
      <c r="D90" s="55"/>
      <c r="E90" s="55"/>
      <c r="F90" s="55"/>
      <c r="G90" s="55"/>
      <c r="H90" s="55"/>
      <c r="I90" s="55"/>
      <c r="J90" s="55"/>
      <c r="K90" s="55"/>
      <c r="L90" s="55"/>
      <c r="M90" s="56"/>
      <c r="N90" s="55"/>
      <c r="O90" s="55"/>
    </row>
    <row r="91" spans="2:15" s="181" customFormat="1" ht="14.1" customHeight="1">
      <c r="B91" s="55"/>
      <c r="C91" s="55"/>
      <c r="D91" s="55"/>
      <c r="E91" s="55"/>
      <c r="F91" s="55"/>
      <c r="G91" s="55"/>
      <c r="H91" s="55"/>
      <c r="I91" s="55"/>
      <c r="J91" s="55"/>
      <c r="K91" s="55"/>
      <c r="L91" s="55"/>
      <c r="M91" s="56"/>
      <c r="N91" s="55"/>
      <c r="O91" s="55"/>
    </row>
    <row r="92" spans="2:15" s="181" customFormat="1" ht="14.1" customHeight="1">
      <c r="B92" s="55"/>
      <c r="C92" s="55"/>
      <c r="D92" s="55"/>
      <c r="E92" s="55"/>
      <c r="F92" s="55"/>
      <c r="G92" s="55"/>
      <c r="H92" s="55"/>
      <c r="I92" s="55"/>
      <c r="J92" s="55"/>
      <c r="K92" s="55"/>
      <c r="L92" s="55"/>
      <c r="M92" s="56"/>
      <c r="N92" s="55"/>
      <c r="O92" s="55"/>
    </row>
    <row r="93" spans="2:15" s="181" customFormat="1" ht="14.1" customHeight="1">
      <c r="B93" s="55"/>
      <c r="C93" s="55"/>
      <c r="D93" s="55"/>
      <c r="E93" s="55"/>
      <c r="F93" s="55"/>
      <c r="G93" s="55"/>
      <c r="H93" s="55"/>
      <c r="I93" s="55"/>
      <c r="J93" s="55"/>
      <c r="K93" s="55"/>
      <c r="L93" s="55"/>
      <c r="M93" s="56"/>
      <c r="N93" s="55"/>
      <c r="O93" s="55"/>
    </row>
    <row r="94" spans="2:15" s="181" customFormat="1" ht="14.1" customHeight="1">
      <c r="B94" s="55"/>
      <c r="C94" s="55"/>
      <c r="D94" s="55"/>
      <c r="E94" s="55"/>
      <c r="F94" s="55"/>
      <c r="G94" s="55"/>
      <c r="H94" s="55"/>
      <c r="I94" s="55"/>
      <c r="J94" s="55"/>
      <c r="K94" s="55"/>
      <c r="L94" s="55"/>
      <c r="M94" s="56"/>
      <c r="N94" s="55"/>
      <c r="O94" s="55"/>
    </row>
    <row r="95" spans="2:15" s="181" customFormat="1" ht="14.1" customHeight="1">
      <c r="B95" s="55"/>
      <c r="C95" s="55"/>
      <c r="D95" s="55"/>
      <c r="E95" s="55"/>
      <c r="F95" s="55"/>
      <c r="G95" s="55"/>
      <c r="H95" s="55"/>
      <c r="I95" s="55"/>
      <c r="J95" s="55"/>
      <c r="K95" s="55"/>
      <c r="L95" s="55"/>
      <c r="M95" s="56"/>
      <c r="N95" s="55"/>
      <c r="O95" s="55"/>
    </row>
    <row r="96" spans="2:15" s="181" customFormat="1" ht="14.1" customHeight="1">
      <c r="B96" s="55"/>
      <c r="C96" s="55"/>
      <c r="D96" s="55"/>
      <c r="E96" s="55"/>
      <c r="F96" s="55"/>
      <c r="G96" s="55"/>
      <c r="H96" s="55"/>
      <c r="I96" s="55"/>
      <c r="J96" s="55"/>
      <c r="K96" s="55"/>
      <c r="L96" s="55"/>
      <c r="M96" s="56"/>
      <c r="N96" s="55"/>
      <c r="O96" s="55"/>
    </row>
    <row r="97" spans="2:15" s="181" customFormat="1" ht="14.1" customHeight="1">
      <c r="B97" s="55"/>
      <c r="C97" s="55"/>
      <c r="D97" s="55"/>
      <c r="E97" s="55"/>
      <c r="F97" s="55"/>
      <c r="G97" s="55"/>
      <c r="H97" s="55"/>
      <c r="I97" s="55"/>
      <c r="J97" s="55"/>
      <c r="K97" s="55"/>
      <c r="L97" s="55"/>
      <c r="M97" s="56"/>
      <c r="N97" s="55"/>
      <c r="O97" s="55"/>
    </row>
    <row r="98" spans="2:15" s="181" customFormat="1" ht="14.1" customHeight="1">
      <c r="B98" s="55"/>
      <c r="C98" s="55"/>
      <c r="D98" s="55"/>
      <c r="E98" s="55"/>
      <c r="F98" s="55"/>
      <c r="G98" s="55"/>
      <c r="H98" s="55"/>
      <c r="I98" s="55"/>
      <c r="J98" s="55"/>
      <c r="K98" s="55"/>
      <c r="L98" s="55"/>
      <c r="M98" s="56"/>
      <c r="N98" s="55"/>
      <c r="O98" s="55"/>
    </row>
    <row r="99" spans="2:15" s="181" customFormat="1" ht="14.1" customHeight="1">
      <c r="B99" s="55"/>
      <c r="C99" s="55"/>
      <c r="D99" s="55"/>
      <c r="E99" s="55"/>
      <c r="F99" s="55"/>
      <c r="G99" s="55"/>
      <c r="H99" s="55"/>
      <c r="I99" s="55"/>
      <c r="J99" s="55"/>
      <c r="K99" s="55"/>
      <c r="L99" s="55"/>
      <c r="M99" s="56"/>
      <c r="N99" s="55"/>
      <c r="O99" s="55"/>
    </row>
    <row r="100" spans="2:15" s="181" customFormat="1" ht="14.1" customHeight="1">
      <c r="B100" s="55"/>
      <c r="C100" s="55"/>
      <c r="D100" s="55"/>
      <c r="E100" s="55"/>
      <c r="F100" s="55"/>
      <c r="G100" s="55"/>
      <c r="H100" s="55"/>
      <c r="I100" s="55"/>
      <c r="J100" s="55"/>
      <c r="K100" s="55"/>
      <c r="L100" s="55"/>
      <c r="M100" s="56"/>
      <c r="N100" s="55"/>
      <c r="O100" s="55"/>
    </row>
    <row r="101" spans="2:15" s="181" customFormat="1" ht="14.1" customHeight="1">
      <c r="B101" s="55"/>
      <c r="C101" s="55"/>
      <c r="D101" s="55"/>
      <c r="E101" s="55"/>
      <c r="F101" s="55"/>
      <c r="G101" s="55"/>
      <c r="H101" s="55"/>
      <c r="I101" s="55"/>
      <c r="J101" s="55"/>
      <c r="K101" s="55"/>
      <c r="L101" s="55"/>
      <c r="M101" s="56"/>
      <c r="N101" s="55"/>
      <c r="O101" s="55"/>
    </row>
    <row r="102" spans="2:15" s="181" customFormat="1" ht="14.1" customHeight="1">
      <c r="B102" s="55"/>
      <c r="C102" s="55"/>
      <c r="D102" s="55"/>
      <c r="E102" s="55"/>
      <c r="F102" s="55"/>
      <c r="G102" s="55"/>
      <c r="H102" s="55"/>
      <c r="I102" s="55"/>
      <c r="J102" s="55"/>
      <c r="K102" s="55"/>
      <c r="L102" s="55"/>
      <c r="M102" s="56"/>
      <c r="N102" s="55"/>
      <c r="O102" s="55"/>
    </row>
    <row r="103" spans="2:15" s="181" customFormat="1" ht="14.1" customHeight="1">
      <c r="B103" s="55"/>
      <c r="C103" s="55"/>
      <c r="D103" s="55"/>
      <c r="E103" s="55"/>
      <c r="F103" s="55"/>
      <c r="G103" s="55"/>
      <c r="H103" s="55"/>
      <c r="I103" s="55"/>
      <c r="J103" s="55"/>
      <c r="K103" s="55"/>
      <c r="L103" s="55"/>
      <c r="M103" s="56"/>
      <c r="N103" s="55"/>
      <c r="O103" s="55"/>
    </row>
    <row r="104" spans="2:15" s="181" customFormat="1" ht="14.1" customHeight="1">
      <c r="B104" s="55"/>
      <c r="C104" s="55"/>
      <c r="D104" s="55"/>
      <c r="E104" s="55"/>
      <c r="F104" s="55"/>
      <c r="G104" s="55"/>
      <c r="H104" s="55"/>
      <c r="I104" s="55"/>
      <c r="J104" s="55"/>
      <c r="K104" s="55"/>
      <c r="L104" s="55"/>
      <c r="M104" s="56"/>
      <c r="N104" s="55"/>
      <c r="O104" s="55"/>
    </row>
    <row r="105" spans="2:15" s="181" customFormat="1" ht="14.1" customHeight="1">
      <c r="B105" s="55"/>
      <c r="C105" s="55"/>
      <c r="D105" s="55"/>
      <c r="E105" s="55"/>
      <c r="F105" s="55"/>
      <c r="G105" s="55"/>
      <c r="H105" s="55"/>
      <c r="I105" s="55"/>
      <c r="J105" s="55"/>
      <c r="K105" s="55"/>
      <c r="L105" s="55"/>
      <c r="M105" s="56"/>
      <c r="N105" s="55"/>
      <c r="O105" s="55"/>
    </row>
    <row r="106" spans="2:15" s="181" customFormat="1" ht="14.1" customHeight="1">
      <c r="B106" s="55"/>
      <c r="C106" s="55"/>
      <c r="D106" s="55"/>
      <c r="E106" s="55"/>
      <c r="F106" s="55"/>
      <c r="G106" s="55"/>
      <c r="H106" s="55"/>
      <c r="I106" s="55"/>
      <c r="J106" s="55"/>
      <c r="K106" s="55"/>
      <c r="L106" s="55"/>
      <c r="M106" s="56"/>
      <c r="N106" s="55"/>
      <c r="O106" s="55"/>
    </row>
    <row r="107" spans="2:15" s="181" customFormat="1" ht="14.1" customHeight="1">
      <c r="B107" s="55"/>
      <c r="C107" s="55"/>
      <c r="D107" s="55"/>
      <c r="E107" s="55"/>
      <c r="F107" s="55"/>
      <c r="G107" s="55"/>
      <c r="H107" s="55"/>
      <c r="I107" s="55"/>
      <c r="J107" s="55"/>
      <c r="K107" s="55"/>
      <c r="L107" s="55"/>
      <c r="M107" s="56"/>
      <c r="N107" s="55"/>
      <c r="O107" s="55"/>
    </row>
    <row r="108" spans="2:15" s="181" customFormat="1" ht="14.1" customHeight="1">
      <c r="B108" s="55"/>
      <c r="C108" s="55"/>
      <c r="D108" s="55"/>
      <c r="E108" s="55"/>
      <c r="F108" s="55"/>
      <c r="G108" s="55"/>
      <c r="H108" s="55"/>
      <c r="I108" s="55"/>
      <c r="J108" s="55"/>
      <c r="K108" s="55"/>
      <c r="L108" s="55"/>
      <c r="M108" s="56"/>
      <c r="N108" s="55"/>
      <c r="O108" s="55"/>
    </row>
    <row r="109" spans="2:15" s="181" customFormat="1" ht="14.1" customHeight="1">
      <c r="B109" s="55"/>
      <c r="C109" s="55"/>
      <c r="D109" s="55"/>
      <c r="E109" s="55"/>
      <c r="F109" s="55"/>
      <c r="G109" s="55"/>
      <c r="H109" s="55"/>
      <c r="I109" s="55"/>
      <c r="J109" s="55"/>
      <c r="K109" s="55"/>
      <c r="L109" s="55"/>
      <c r="M109" s="56"/>
      <c r="N109" s="55"/>
      <c r="O109" s="55"/>
    </row>
    <row r="110" spans="2:15" s="181" customFormat="1" ht="14.1" customHeight="1">
      <c r="B110" s="55"/>
      <c r="C110" s="55"/>
      <c r="D110" s="55"/>
      <c r="E110" s="55"/>
      <c r="F110" s="55"/>
      <c r="G110" s="55"/>
      <c r="H110" s="55"/>
      <c r="I110" s="55"/>
      <c r="J110" s="55"/>
      <c r="K110" s="55"/>
      <c r="L110" s="55"/>
      <c r="M110" s="56"/>
      <c r="N110" s="55"/>
      <c r="O110" s="55"/>
    </row>
    <row r="111" spans="2:15" s="181" customFormat="1" ht="14.1" customHeight="1">
      <c r="B111" s="55"/>
      <c r="C111" s="55"/>
      <c r="D111" s="55"/>
      <c r="E111" s="55"/>
      <c r="F111" s="55"/>
      <c r="G111" s="55"/>
      <c r="H111" s="55"/>
      <c r="I111" s="55"/>
      <c r="J111" s="55"/>
      <c r="K111" s="55"/>
      <c r="L111" s="55"/>
      <c r="M111" s="56"/>
      <c r="N111" s="55"/>
      <c r="O111" s="55"/>
    </row>
    <row r="112" spans="2:15" s="181" customFormat="1" ht="14.1" customHeight="1">
      <c r="B112" s="55"/>
      <c r="C112" s="55"/>
      <c r="D112" s="55"/>
      <c r="E112" s="55"/>
      <c r="F112" s="55"/>
      <c r="G112" s="55"/>
      <c r="H112" s="55"/>
      <c r="I112" s="55"/>
      <c r="J112" s="55"/>
      <c r="K112" s="55"/>
      <c r="L112" s="55"/>
      <c r="M112" s="56"/>
      <c r="N112" s="55"/>
      <c r="O112" s="55"/>
    </row>
    <row r="113" spans="2:15" s="181" customFormat="1" ht="14.1" customHeight="1">
      <c r="B113" s="55"/>
      <c r="C113" s="55"/>
      <c r="D113" s="55"/>
      <c r="E113" s="55"/>
      <c r="F113" s="55"/>
      <c r="G113" s="55"/>
      <c r="H113" s="55"/>
      <c r="I113" s="55"/>
      <c r="J113" s="55"/>
      <c r="K113" s="55"/>
      <c r="L113" s="55"/>
      <c r="M113" s="56"/>
      <c r="N113" s="55"/>
      <c r="O113" s="55"/>
    </row>
    <row r="114" spans="2:15" s="181" customFormat="1" ht="14.1" customHeight="1">
      <c r="B114" s="55"/>
      <c r="C114" s="55"/>
      <c r="D114" s="55"/>
      <c r="E114" s="55"/>
      <c r="F114" s="55"/>
      <c r="G114" s="55"/>
      <c r="H114" s="55"/>
      <c r="I114" s="55"/>
      <c r="J114" s="55"/>
      <c r="K114" s="55"/>
      <c r="L114" s="55"/>
      <c r="M114" s="56"/>
      <c r="N114" s="55"/>
      <c r="O114" s="55"/>
    </row>
    <row r="115" spans="2:15" s="181" customFormat="1" ht="14.1" customHeight="1">
      <c r="B115" s="55"/>
      <c r="C115" s="55"/>
      <c r="D115" s="55"/>
      <c r="E115" s="55"/>
      <c r="F115" s="55"/>
      <c r="G115" s="55"/>
      <c r="H115" s="55"/>
      <c r="I115" s="55"/>
      <c r="J115" s="55"/>
      <c r="K115" s="55"/>
      <c r="L115" s="55"/>
      <c r="M115" s="56"/>
      <c r="N115" s="55"/>
      <c r="O115" s="55"/>
    </row>
    <row r="116" spans="2:15" s="181" customFormat="1" ht="14.1" customHeight="1">
      <c r="B116" s="55"/>
      <c r="C116" s="55"/>
      <c r="D116" s="55"/>
      <c r="E116" s="55"/>
      <c r="F116" s="55"/>
      <c r="G116" s="55"/>
      <c r="H116" s="55"/>
      <c r="I116" s="55"/>
      <c r="J116" s="55"/>
      <c r="K116" s="55"/>
      <c r="L116" s="55"/>
      <c r="M116" s="56"/>
      <c r="N116" s="55"/>
      <c r="O116" s="55"/>
    </row>
    <row r="117" spans="2:15" s="181" customFormat="1" ht="14.1" customHeight="1">
      <c r="B117" s="55"/>
      <c r="C117" s="55"/>
      <c r="D117" s="55"/>
      <c r="E117" s="55"/>
      <c r="F117" s="55"/>
      <c r="G117" s="55"/>
      <c r="H117" s="55"/>
      <c r="I117" s="55"/>
      <c r="J117" s="55"/>
      <c r="K117" s="55"/>
      <c r="L117" s="55"/>
      <c r="M117" s="56"/>
      <c r="N117" s="55"/>
      <c r="O117" s="55"/>
    </row>
    <row r="118" spans="2:15" s="181" customFormat="1" ht="14.1" customHeight="1">
      <c r="B118" s="55"/>
      <c r="C118" s="55"/>
      <c r="D118" s="55"/>
      <c r="E118" s="55"/>
      <c r="F118" s="55"/>
      <c r="G118" s="55"/>
      <c r="H118" s="55"/>
      <c r="I118" s="55"/>
      <c r="J118" s="55"/>
      <c r="K118" s="55"/>
      <c r="L118" s="55"/>
      <c r="M118" s="56"/>
      <c r="N118" s="55"/>
      <c r="O118" s="55"/>
    </row>
    <row r="119" spans="2:15" s="181" customFormat="1" ht="14.1" customHeight="1">
      <c r="B119" s="55"/>
      <c r="C119" s="55"/>
      <c r="D119" s="55"/>
      <c r="E119" s="55"/>
      <c r="F119" s="55"/>
      <c r="G119" s="55"/>
      <c r="H119" s="55"/>
      <c r="I119" s="55"/>
      <c r="J119" s="55"/>
      <c r="K119" s="55"/>
      <c r="L119" s="55"/>
      <c r="M119" s="56"/>
      <c r="N119" s="55"/>
      <c r="O119" s="55"/>
    </row>
    <row r="120" spans="2:15" s="181" customFormat="1" ht="14.1" customHeight="1">
      <c r="B120" s="113"/>
      <c r="C120" s="113"/>
      <c r="D120" s="113"/>
      <c r="E120" s="113"/>
      <c r="F120" s="113"/>
      <c r="G120" s="113"/>
      <c r="H120" s="113"/>
      <c r="I120" s="113"/>
      <c r="J120" s="113"/>
      <c r="K120" s="113"/>
      <c r="L120" s="113"/>
      <c r="M120" s="100"/>
      <c r="N120" s="113"/>
      <c r="O120" s="113"/>
    </row>
    <row r="121" spans="2:15" s="181" customFormat="1" ht="14.1" customHeight="1">
      <c r="M121" s="227"/>
    </row>
    <row r="122" spans="2:15" s="181" customFormat="1" ht="14.1" customHeight="1">
      <c r="M122" s="227"/>
    </row>
    <row r="123" spans="2:15" s="181" customFormat="1" ht="14.1" customHeight="1">
      <c r="M123" s="227"/>
    </row>
    <row r="124" spans="2:15" s="181" customFormat="1" ht="14.1" customHeight="1">
      <c r="M124" s="227"/>
    </row>
    <row r="125" spans="2:15" s="181" customFormat="1" ht="14.1" customHeight="1">
      <c r="M125" s="227"/>
    </row>
    <row r="126" spans="2:15" s="181" customFormat="1" ht="14.1" customHeight="1">
      <c r="M126" s="227"/>
    </row>
  </sheetData>
  <sheetProtection sheet="1" objects="1" scenarios="1" selectLockedCells="1"/>
  <mergeCells count="13">
    <mergeCell ref="C69:O69"/>
    <mergeCell ref="C66:F66"/>
    <mergeCell ref="C65:F65"/>
    <mergeCell ref="L6:N6"/>
    <mergeCell ref="C7:E7"/>
    <mergeCell ref="N65:O65"/>
    <mergeCell ref="N66:O66"/>
    <mergeCell ref="N51:O51"/>
    <mergeCell ref="N54:O54"/>
    <mergeCell ref="C6:K6"/>
    <mergeCell ref="C10:E10"/>
    <mergeCell ref="C30:E30"/>
    <mergeCell ref="C34:E34"/>
  </mergeCells>
  <phoneticPr fontId="23" type="noConversion"/>
  <pageMargins left="0.78740157480314965" right="0.78740157480314965" top="0.59055118110236227" bottom="0.59055118110236227" header="0.51181102362204722" footer="0.31496062992125984"/>
  <pageSetup paperSize="9" scale="63" orientation="portrait" r:id="rId1"/>
  <headerFooter alignWithMargins="0">
    <oddFooter>&amp;L©AGRIDEA&amp;R04.2022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520"/>
  <sheetViews>
    <sheetView workbookViewId="0">
      <pane ySplit="13" topLeftCell="A14" activePane="bottomLeft" state="frozen"/>
      <selection pane="bottomLeft" activeCell="A11" sqref="A1:XFD11"/>
    </sheetView>
  </sheetViews>
  <sheetFormatPr baseColWidth="10" defaultColWidth="42.140625" defaultRowHeight="12.75"/>
  <cols>
    <col min="1" max="3" width="43.5703125" style="387" customWidth="1"/>
    <col min="4" max="4" width="43.5703125" style="394" customWidth="1"/>
    <col min="5" max="5" width="40.5703125" style="387" customWidth="1"/>
    <col min="6" max="16384" width="42.140625" style="389"/>
  </cols>
  <sheetData>
    <row r="1" spans="1:5" ht="25.5" hidden="1">
      <c r="A1" s="387" t="s">
        <v>72</v>
      </c>
      <c r="B1" s="393" t="s">
        <v>1482</v>
      </c>
      <c r="C1" s="387" t="s">
        <v>24</v>
      </c>
      <c r="D1" s="388" t="s">
        <v>1318</v>
      </c>
    </row>
    <row r="2" spans="1:5" hidden="1">
      <c r="A2" s="390">
        <v>2</v>
      </c>
      <c r="B2" s="387">
        <v>1</v>
      </c>
      <c r="C2" s="387">
        <v>1</v>
      </c>
      <c r="D2" s="388">
        <v>1</v>
      </c>
    </row>
    <row r="3" spans="1:5" hidden="1">
      <c r="A3" s="387" t="s">
        <v>73</v>
      </c>
      <c r="D3" s="388"/>
    </row>
    <row r="4" spans="1:5" hidden="1">
      <c r="A4" s="387" t="s">
        <v>74</v>
      </c>
      <c r="D4" s="388"/>
    </row>
    <row r="5" spans="1:5" hidden="1">
      <c r="A5" s="387" t="s">
        <v>288</v>
      </c>
      <c r="D5" s="388"/>
    </row>
    <row r="6" spans="1:5" hidden="1">
      <c r="D6" s="388"/>
    </row>
    <row r="7" spans="1:5" hidden="1">
      <c r="A7" s="387" t="s">
        <v>646</v>
      </c>
      <c r="D7" s="388"/>
    </row>
    <row r="8" spans="1:5" hidden="1">
      <c r="A8" s="387">
        <v>1</v>
      </c>
      <c r="D8" s="388"/>
    </row>
    <row r="9" spans="1:5" hidden="1">
      <c r="A9" s="387" t="str">
        <f>A426</f>
        <v>UMOS 2013</v>
      </c>
      <c r="D9" s="388"/>
    </row>
    <row r="10" spans="1:5" ht="25.5" hidden="1">
      <c r="A10" s="387" t="str">
        <f>A427</f>
        <v>UMOS progres technique (provisoirement suspendu)</v>
      </c>
      <c r="D10" s="388"/>
    </row>
    <row r="11" spans="1:5" hidden="1">
      <c r="D11" s="388"/>
    </row>
    <row r="12" spans="1:5">
      <c r="D12" s="388"/>
    </row>
    <row r="13" spans="1:5">
      <c r="B13" s="391" t="s">
        <v>73</v>
      </c>
      <c r="C13" s="391" t="s">
        <v>74</v>
      </c>
      <c r="D13" s="392" t="s">
        <v>288</v>
      </c>
    </row>
    <row r="14" spans="1:5">
      <c r="A14" s="387" t="str">
        <f t="shared" ref="A14:A55" si="0">IF($A$2=1,B14,IF($A$2=2,C14,IF($A$2=3,D14,"")))</f>
        <v>Textes</v>
      </c>
      <c r="B14" s="393" t="s">
        <v>107</v>
      </c>
      <c r="C14" s="388" t="s">
        <v>108</v>
      </c>
      <c r="D14" s="388" t="s">
        <v>289</v>
      </c>
    </row>
    <row r="15" spans="1:5" s="395" customFormat="1">
      <c r="A15" s="388" t="str">
        <f t="shared" si="0"/>
        <v>Langue:</v>
      </c>
      <c r="B15" s="394" t="s">
        <v>109</v>
      </c>
      <c r="C15" s="388" t="s">
        <v>110</v>
      </c>
      <c r="D15" s="388" t="s">
        <v>290</v>
      </c>
      <c r="E15" s="394"/>
    </row>
    <row r="16" spans="1:5" s="395" customFormat="1">
      <c r="A16" s="388" t="str">
        <f t="shared" si="0"/>
        <v>Parts minimales atteintes</v>
      </c>
      <c r="B16" s="394" t="s">
        <v>23</v>
      </c>
      <c r="C16" s="388" t="s">
        <v>481</v>
      </c>
      <c r="D16" s="388" t="s">
        <v>515</v>
      </c>
      <c r="E16" s="394"/>
    </row>
    <row r="17" spans="1:5" s="395" customFormat="1">
      <c r="A17" s="388" t="str">
        <f t="shared" si="0"/>
        <v xml:space="preserve">   Supplément pour culture biologique</v>
      </c>
      <c r="B17" s="394" t="s">
        <v>16</v>
      </c>
      <c r="C17" s="388" t="s">
        <v>40</v>
      </c>
      <c r="D17" s="388" t="s">
        <v>291</v>
      </c>
      <c r="E17" s="394"/>
    </row>
    <row r="18" spans="1:5" s="395" customFormat="1" ht="25.5">
      <c r="A18" s="388" t="str">
        <f t="shared" si="0"/>
        <v xml:space="preserve"> - animaux traits, estivés de 56 à 100 jours</v>
      </c>
      <c r="B18" s="396" t="s">
        <v>202</v>
      </c>
      <c r="C18" s="388" t="s">
        <v>171</v>
      </c>
      <c r="D18" s="388" t="s">
        <v>516</v>
      </c>
      <c r="E18" s="394"/>
    </row>
    <row r="19" spans="1:5" s="395" customFormat="1">
      <c r="A19" s="388" t="str">
        <f t="shared" si="0"/>
        <v xml:space="preserve"> - autres animaux</v>
      </c>
      <c r="B19" s="396" t="s">
        <v>994</v>
      </c>
      <c r="C19" s="388" t="s">
        <v>169</v>
      </c>
      <c r="D19" s="388" t="s">
        <v>292</v>
      </c>
      <c r="E19" s="394"/>
    </row>
    <row r="20" spans="1:5" s="395" customFormat="1">
      <c r="A20" s="388" t="str">
        <f t="shared" si="0"/>
        <v>- autres pâturages</v>
      </c>
      <c r="B20" s="396" t="s">
        <v>232</v>
      </c>
      <c r="C20" s="388" t="s">
        <v>172</v>
      </c>
      <c r="D20" s="388" t="s">
        <v>293</v>
      </c>
      <c r="E20" s="394"/>
    </row>
    <row r="21" spans="1:5" s="395" customFormat="1">
      <c r="A21" s="388" t="str">
        <f t="shared" si="0"/>
        <v>- Charge minimale de travail (0.2 UMOS)</v>
      </c>
      <c r="B21" s="397" t="s">
        <v>1093</v>
      </c>
      <c r="C21" s="397" t="s">
        <v>1094</v>
      </c>
      <c r="D21" s="397" t="s">
        <v>1095</v>
      </c>
      <c r="E21" s="394"/>
    </row>
    <row r="22" spans="1:5" s="395" customFormat="1" ht="15">
      <c r="A22" s="388" t="str">
        <f t="shared" si="0"/>
        <v>- Déduction par UMOS a)</v>
      </c>
      <c r="B22" s="396" t="s">
        <v>995</v>
      </c>
      <c r="C22" s="388" t="s">
        <v>765</v>
      </c>
      <c r="D22" s="388" t="s">
        <v>766</v>
      </c>
      <c r="E22" s="394"/>
    </row>
    <row r="23" spans="1:5" s="395" customFormat="1" ht="25.5">
      <c r="A23" s="388" t="str">
        <f t="shared" si="0"/>
        <v>- Déduction pour exploitant marié (Fr. 340'000.-)</v>
      </c>
      <c r="B23" s="396" t="s">
        <v>996</v>
      </c>
      <c r="C23" s="388" t="s">
        <v>54</v>
      </c>
      <c r="D23" s="388" t="s">
        <v>294</v>
      </c>
      <c r="E23" s="394"/>
    </row>
    <row r="24" spans="1:5" s="395" customFormat="1" ht="25.5">
      <c r="A24" s="388" t="str">
        <f t="shared" si="0"/>
        <v>- Déduction pour exploitant marié (Fr. 50'000.-)</v>
      </c>
      <c r="B24" s="396" t="s">
        <v>997</v>
      </c>
      <c r="C24" s="388" t="s">
        <v>49</v>
      </c>
      <c r="D24" s="388" t="s">
        <v>295</v>
      </c>
      <c r="E24" s="394"/>
    </row>
    <row r="25" spans="1:5" s="395" customFormat="1">
      <c r="A25" s="388" t="str">
        <f t="shared" si="0"/>
        <v>- Exploitation paysanne cultivant le sol</v>
      </c>
      <c r="B25" s="396" t="s">
        <v>998</v>
      </c>
      <c r="C25" s="388" t="s">
        <v>69</v>
      </c>
      <c r="D25" s="397" t="s">
        <v>296</v>
      </c>
      <c r="E25" s="394"/>
    </row>
    <row r="26" spans="1:5" s="395" customFormat="1">
      <c r="A26" s="388" t="str">
        <f t="shared" si="0"/>
        <v>- Formation professionnelle agricole</v>
      </c>
      <c r="B26" s="396" t="s">
        <v>876</v>
      </c>
      <c r="C26" s="397" t="s">
        <v>454</v>
      </c>
      <c r="D26" s="388" t="s">
        <v>297</v>
      </c>
      <c r="E26" s="394"/>
    </row>
    <row r="27" spans="1:5" s="395" customFormat="1">
      <c r="A27" s="388" t="str">
        <f t="shared" si="0"/>
        <v>- Limite d'âge (65 ans)</v>
      </c>
      <c r="B27" s="396" t="s">
        <v>270</v>
      </c>
      <c r="C27" s="388" t="s">
        <v>71</v>
      </c>
      <c r="D27" s="388" t="s">
        <v>298</v>
      </c>
      <c r="E27" s="394"/>
    </row>
    <row r="28" spans="1:5" s="395" customFormat="1" ht="25.5">
      <c r="A28" s="388" t="str">
        <f t="shared" si="0"/>
        <v>- Part minimale de main-d'œuvre propre à l'exploitation (50%)</v>
      </c>
      <c r="B28" s="396" t="s">
        <v>1011</v>
      </c>
      <c r="C28" s="388" t="s">
        <v>70</v>
      </c>
      <c r="D28" s="398" t="s">
        <v>978</v>
      </c>
      <c r="E28" s="388" t="s">
        <v>977</v>
      </c>
    </row>
    <row r="29" spans="1:5" s="395" customFormat="1">
      <c r="A29" s="388" t="str">
        <f t="shared" si="0"/>
        <v>- pâturages tournants</v>
      </c>
      <c r="B29" s="396" t="s">
        <v>999</v>
      </c>
      <c r="C29" s="388" t="s">
        <v>173</v>
      </c>
      <c r="D29" s="398" t="s">
        <v>517</v>
      </c>
      <c r="E29" s="394"/>
    </row>
    <row r="30" spans="1:5" s="395" customFormat="1" ht="25.5">
      <c r="A30" s="388" t="str">
        <f t="shared" si="0"/>
        <v>- Prestations écologiques requises PER</v>
      </c>
      <c r="B30" s="396" t="s">
        <v>271</v>
      </c>
      <c r="C30" s="397" t="s">
        <v>272</v>
      </c>
      <c r="D30" s="397" t="s">
        <v>299</v>
      </c>
      <c r="E30" s="394"/>
    </row>
    <row r="31" spans="1:5" s="395" customFormat="1" ht="25.5">
      <c r="A31" s="388" t="str">
        <f t="shared" si="0"/>
        <v>- surveillance permanente ou pâturage tournant avec mesures de prot. des troupeaux</v>
      </c>
      <c r="B31" s="397" t="s">
        <v>83</v>
      </c>
      <c r="C31" s="397" t="s">
        <v>628</v>
      </c>
      <c r="D31" s="397" t="s">
        <v>785</v>
      </c>
      <c r="E31" s="394"/>
    </row>
    <row r="32" spans="1:5" s="395" customFormat="1" ht="25.5">
      <c r="A32" s="388" t="str">
        <f t="shared" si="0"/>
        <v>**plafonnements identiques à PA 2011 (UMOS actualisés)</v>
      </c>
      <c r="B32" s="396" t="s">
        <v>1000</v>
      </c>
      <c r="C32" s="388" t="s">
        <v>124</v>
      </c>
      <c r="D32" s="388" t="s">
        <v>518</v>
      </c>
      <c r="E32" s="394"/>
    </row>
    <row r="33" spans="1:5" s="395" customFormat="1">
      <c r="A33" s="388" t="str">
        <f t="shared" si="0"/>
        <v>*Conditions pas encore définies</v>
      </c>
      <c r="B33" s="396" t="s">
        <v>1001</v>
      </c>
      <c r="C33" s="388" t="s">
        <v>66</v>
      </c>
      <c r="D33" s="388" t="s">
        <v>300</v>
      </c>
      <c r="E33" s="394"/>
    </row>
    <row r="34" spans="1:5" s="395" customFormat="1" ht="25.5">
      <c r="A34" s="388" t="str">
        <f t="shared" si="0"/>
        <v xml:space="preserve">* Année avec le plus haut montant de paiements directs généraux parmi les années 2011 à 2013 </v>
      </c>
      <c r="B34" s="388" t="s">
        <v>672</v>
      </c>
      <c r="C34" s="388" t="s">
        <v>445</v>
      </c>
      <c r="D34" s="388" t="s">
        <v>519</v>
      </c>
      <c r="E34" s="394"/>
    </row>
    <row r="35" spans="1:5" s="395" customFormat="1" ht="25.5">
      <c r="A35" s="388" t="str">
        <f t="shared" si="0"/>
        <v>** Selon structure de l'année déterminante* et les taux de contributions 2014</v>
      </c>
      <c r="B35" s="388" t="s">
        <v>673</v>
      </c>
      <c r="C35" s="388" t="s">
        <v>482</v>
      </c>
      <c r="D35" s="388" t="s">
        <v>520</v>
      </c>
      <c r="E35" s="394"/>
    </row>
    <row r="36" spans="1:5" s="395" customFormat="1" ht="38.25">
      <c r="A36" s="388" t="str">
        <f t="shared" si="0"/>
        <v>*Surfaces donnant droit aux contributions: SAU (hors haies, bosquets champêtres et berges boisées)</v>
      </c>
      <c r="B36" s="396" t="s">
        <v>275</v>
      </c>
      <c r="C36" s="388" t="s">
        <v>60</v>
      </c>
      <c r="D36" s="388" t="s">
        <v>990</v>
      </c>
      <c r="E36" s="394"/>
    </row>
    <row r="37" spans="1:5" s="395" customFormat="1" ht="38.25">
      <c r="A37" s="388" t="str">
        <f t="shared" si="0"/>
        <v>*Surfaces donnant droit aux contributions: SAU, SEA et surfaces d'estivage</v>
      </c>
      <c r="B37" s="396" t="s">
        <v>212</v>
      </c>
      <c r="C37" s="388" t="s">
        <v>65</v>
      </c>
      <c r="D37" s="388" t="s">
        <v>991</v>
      </c>
      <c r="E37" s="394"/>
    </row>
    <row r="38" spans="1:5" s="395" customFormat="1" ht="51">
      <c r="A38" s="388" t="str">
        <f t="shared" si="0"/>
        <v>*y-compris contributions à la culture des champs (OCCCh), contributions selon l'OQE, contributions d'estivage, contributions selon art. 77a/b Lagr, contributions selon art. 62a Leaux</v>
      </c>
      <c r="B38" s="388" t="s">
        <v>667</v>
      </c>
      <c r="C38" s="388" t="s">
        <v>666</v>
      </c>
      <c r="D38" s="388" t="s">
        <v>941</v>
      </c>
      <c r="E38" s="394"/>
    </row>
    <row r="39" spans="1:5" s="395" customFormat="1" ht="63.75">
      <c r="A39" s="388" t="str">
        <f t="shared" si="0"/>
        <v>Région de plaine: min. 75% de la MS de fourrages provenant de prairies ou de pâturages; min. 90% de la MS en fourrages de base - Région de montagne: min. 85% de la MS de fourrages provenant de prairies ou de pâturages</v>
      </c>
      <c r="B39" s="388" t="s">
        <v>98</v>
      </c>
      <c r="C39" s="388" t="s">
        <v>99</v>
      </c>
      <c r="D39" s="399" t="s">
        <v>100</v>
      </c>
      <c r="E39" s="394"/>
    </row>
    <row r="40" spans="1:5">
      <c r="A40" s="393" t="str">
        <f t="shared" si="0"/>
        <v>= Fortune déterminante</v>
      </c>
      <c r="B40" s="400" t="s">
        <v>911</v>
      </c>
      <c r="C40" s="393" t="s">
        <v>56</v>
      </c>
      <c r="D40" s="388" t="s">
        <v>301</v>
      </c>
    </row>
    <row r="41" spans="1:5">
      <c r="A41" s="393" t="str">
        <f t="shared" si="0"/>
        <v>= Revenu déterminant</v>
      </c>
      <c r="B41" s="397" t="s">
        <v>912</v>
      </c>
      <c r="C41" s="388" t="s">
        <v>50</v>
      </c>
      <c r="D41" s="397" t="s">
        <v>302</v>
      </c>
    </row>
    <row r="42" spans="1:5">
      <c r="A42" s="393" t="str">
        <f t="shared" si="0"/>
        <v>&gt; 30 % déclivité en terrasses</v>
      </c>
      <c r="B42" s="387" t="s">
        <v>230</v>
      </c>
      <c r="C42" s="393" t="s">
        <v>231</v>
      </c>
      <c r="D42" s="388" t="s">
        <v>303</v>
      </c>
    </row>
    <row r="43" spans="1:5" s="395" customFormat="1">
      <c r="A43" s="388" t="str">
        <f t="shared" si="0"/>
        <v>&gt; 35 - 50 % déclivité</v>
      </c>
      <c r="B43" s="394" t="s">
        <v>784</v>
      </c>
      <c r="C43" s="388" t="s">
        <v>838</v>
      </c>
      <c r="D43" s="388" t="s">
        <v>839</v>
      </c>
      <c r="E43" s="394"/>
    </row>
    <row r="44" spans="1:5" s="395" customFormat="1">
      <c r="A44" s="388" t="str">
        <f t="shared" si="0"/>
        <v>&gt; 50 % déclivité*</v>
      </c>
      <c r="B44" s="394" t="s">
        <v>843</v>
      </c>
      <c r="C44" s="388" t="s">
        <v>844</v>
      </c>
      <c r="D44" s="388" t="s">
        <v>845</v>
      </c>
      <c r="E44" s="394"/>
    </row>
    <row r="45" spans="1:5" s="395" customFormat="1" ht="25.5">
      <c r="A45" s="388" t="str">
        <f t="shared" si="0"/>
        <v>2014 - 2016: 700
dès 2017: 1'000</v>
      </c>
      <c r="B45" s="394" t="s">
        <v>840</v>
      </c>
      <c r="C45" s="394" t="s">
        <v>455</v>
      </c>
      <c r="D45" s="388" t="s">
        <v>1210</v>
      </c>
      <c r="E45" s="394"/>
    </row>
    <row r="46" spans="1:5" s="395" customFormat="1" ht="38.25">
      <c r="A46" s="388" t="str">
        <f t="shared" si="0"/>
        <v>Attention ! Surface &gt; 35% de pente plus grande que surface de l'exploitation</v>
      </c>
      <c r="B46" s="388" t="s">
        <v>664</v>
      </c>
      <c r="C46" s="388" t="s">
        <v>512</v>
      </c>
      <c r="D46" s="388" t="s">
        <v>521</v>
      </c>
      <c r="E46" s="394"/>
    </row>
    <row r="47" spans="1:5" s="395" customFormat="1" ht="25.5">
      <c r="A47" s="388" t="str">
        <f t="shared" si="0"/>
        <v>***PN = pâquier normal = 1 UGBFG estivée pendant 100 jours</v>
      </c>
      <c r="B47" s="388" t="s">
        <v>356</v>
      </c>
      <c r="C47" s="388" t="s">
        <v>357</v>
      </c>
      <c r="D47" s="388" t="s">
        <v>358</v>
      </c>
      <c r="E47" s="394"/>
    </row>
    <row r="48" spans="1:5" s="395" customFormat="1">
      <c r="A48" s="388" t="str">
        <f t="shared" si="0"/>
        <v>18 - 35 % déclivité</v>
      </c>
      <c r="B48" s="394" t="s">
        <v>177</v>
      </c>
      <c r="C48" s="388" t="s">
        <v>146</v>
      </c>
      <c r="D48" s="388" t="s">
        <v>304</v>
      </c>
      <c r="E48" s="394"/>
    </row>
    <row r="49" spans="1:5" s="395" customFormat="1" ht="11.25" customHeight="1">
      <c r="A49" s="388" t="str">
        <f t="shared" si="0"/>
        <v>30 - 50 % déclivité</v>
      </c>
      <c r="B49" s="394" t="s">
        <v>178</v>
      </c>
      <c r="C49" s="388" t="s">
        <v>148</v>
      </c>
      <c r="D49" s="388" t="s">
        <v>305</v>
      </c>
      <c r="E49" s="394"/>
    </row>
    <row r="50" spans="1:5" s="395" customFormat="1" ht="25.5">
      <c r="A50" s="388" t="str">
        <f>IF($A$2=1,B50,IF($A$2=2,C50,IF($A$2=3,D50,"")))</f>
        <v>Contributions 2014, y compris contributions uniques, en % des contributions actuelles</v>
      </c>
      <c r="B50" s="394" t="s">
        <v>863</v>
      </c>
      <c r="C50" s="388" t="s">
        <v>485</v>
      </c>
      <c r="D50" s="388" t="s">
        <v>786</v>
      </c>
      <c r="E50" s="394" t="s">
        <v>862</v>
      </c>
    </row>
    <row r="51" spans="1:5" s="395" customFormat="1" ht="38.25">
      <c r="A51" s="388" t="str">
        <f>IF($A$2=1,B51,IF($A$2=2,C51,IF($A$2=3,D51,"")))</f>
        <v xml:space="preserve">Attention ! Ce total inclut les contributions uniques pour l'achat de machines (CER) qui se montent à: </v>
      </c>
      <c r="B51" s="394" t="s">
        <v>864</v>
      </c>
      <c r="C51" s="394" t="s">
        <v>486</v>
      </c>
      <c r="D51" s="388" t="s">
        <v>787</v>
      </c>
      <c r="E51" s="394"/>
    </row>
    <row r="52" spans="1:5" s="395" customFormat="1">
      <c r="A52" s="388" t="str">
        <f t="shared" si="0"/>
        <v>autres UGBFG :</v>
      </c>
      <c r="B52" s="394" t="s">
        <v>201</v>
      </c>
      <c r="C52" s="388" t="s">
        <v>200</v>
      </c>
      <c r="D52" s="388" t="s">
        <v>306</v>
      </c>
      <c r="E52" s="394"/>
    </row>
    <row r="53" spans="1:5" s="395" customFormat="1">
      <c r="A53" s="388" t="str">
        <f t="shared" si="0"/>
        <v>Année:</v>
      </c>
      <c r="B53" s="394" t="s">
        <v>112</v>
      </c>
      <c r="C53" s="388" t="s">
        <v>152</v>
      </c>
      <c r="D53" s="388" t="s">
        <v>307</v>
      </c>
      <c r="E53" s="394"/>
    </row>
    <row r="54" spans="1:5" s="395" customFormat="1">
      <c r="A54" s="388" t="str">
        <f t="shared" si="0"/>
        <v>arbres</v>
      </c>
      <c r="B54" s="394" t="s">
        <v>190</v>
      </c>
      <c r="C54" s="388" t="s">
        <v>194</v>
      </c>
      <c r="D54" s="388" t="s">
        <v>308</v>
      </c>
      <c r="E54" s="394"/>
    </row>
    <row r="55" spans="1:5" s="395" customFormat="1" ht="25.5">
      <c r="A55" s="388" t="str">
        <f t="shared" si="0"/>
        <v>arbres fruitiers haute-tige (y-compris noyers et châtaigne) (921,922, 923)</v>
      </c>
      <c r="B55" s="388" t="s">
        <v>1200</v>
      </c>
      <c r="C55" s="388" t="s">
        <v>1202</v>
      </c>
      <c r="D55" s="388" t="s">
        <v>1201</v>
      </c>
      <c r="E55" s="394"/>
    </row>
    <row r="56" spans="1:5" s="395" customFormat="1" ht="25.5">
      <c r="A56" s="388" t="str">
        <f t="shared" ref="A56:A101" si="1">IF($A$2=1,B56,IF($A$2=2,C56,IF($A$2=3,D56,"")))</f>
        <v>arbres fruitiers haute-tige (sans les noyers) (921,923)</v>
      </c>
      <c r="B56" s="388" t="s">
        <v>1203</v>
      </c>
      <c r="C56" s="388" t="s">
        <v>1182</v>
      </c>
      <c r="D56" s="388" t="s">
        <v>1115</v>
      </c>
      <c r="E56" s="394"/>
    </row>
    <row r="57" spans="1:5" s="395" customFormat="1">
      <c r="A57" s="388" t="str">
        <f>IF($A$2=1,B57,IF($A$2=2,C57,IF($A$2=3,D57,"")))</f>
        <v>noyers (922)</v>
      </c>
      <c r="B57" s="388" t="s">
        <v>1178</v>
      </c>
      <c r="C57" s="388" t="s">
        <v>1176</v>
      </c>
      <c r="D57" s="388" t="s">
        <v>1177</v>
      </c>
      <c r="E57" s="394"/>
    </row>
    <row r="58" spans="1:5" s="395" customFormat="1" ht="25.5">
      <c r="A58" s="388" t="str">
        <f>IF($A$2=1,B58,IF($A$2=2,C58,IF($A$2=3,D58,"")))</f>
        <v>* Pour les noyers qui sont en 2013 en période d'engagement (durée de 6 ans),</v>
      </c>
      <c r="B58" s="388" t="s">
        <v>94</v>
      </c>
      <c r="C58" s="388" t="s">
        <v>93</v>
      </c>
      <c r="D58" s="388" t="s">
        <v>788</v>
      </c>
      <c r="E58" s="394"/>
    </row>
    <row r="59" spans="1:5" s="395" customFormat="1" ht="25.5">
      <c r="A59" s="388" t="str">
        <f>IF($A$2=1,B59,IF($A$2=2,C59,IF($A$2=3,D59,"")))</f>
        <v>il sera versé Fr. 30.- jusqu'à la fin de cette durée d'engagement</v>
      </c>
      <c r="B59" s="388" t="s">
        <v>328</v>
      </c>
      <c r="C59" s="388" t="s">
        <v>487</v>
      </c>
      <c r="D59" s="388" t="s">
        <v>789</v>
      </c>
      <c r="E59" s="394"/>
    </row>
    <row r="60" spans="1:5" s="395" customFormat="1" ht="38.25">
      <c r="A60" s="388" t="str">
        <f t="shared" si="1"/>
        <v>arbres fruitiers haute-tige (y-compris noyers), arbres isolés adaptés au site et allées d'arbres (921, 922, 923, 924)</v>
      </c>
      <c r="B60" s="388" t="s">
        <v>1184</v>
      </c>
      <c r="C60" s="388" t="s">
        <v>1183</v>
      </c>
      <c r="D60" s="388" t="s">
        <v>1185</v>
      </c>
      <c r="E60" s="394"/>
    </row>
    <row r="61" spans="1:5" s="395" customFormat="1" ht="25.5">
      <c r="A61" s="388" t="str">
        <f t="shared" si="1"/>
        <v>arbres isolés adaptés au site et allées d'arbres</v>
      </c>
      <c r="B61" s="388" t="s">
        <v>900</v>
      </c>
      <c r="C61" s="388" t="s">
        <v>123</v>
      </c>
      <c r="D61" s="388" t="s">
        <v>309</v>
      </c>
      <c r="E61" s="394"/>
    </row>
    <row r="62" spans="1:5" s="395" customFormat="1">
      <c r="A62" s="388" t="str">
        <f t="shared" si="1"/>
        <v>Autres animaux de rente</v>
      </c>
      <c r="B62" s="394" t="s">
        <v>344</v>
      </c>
      <c r="C62" s="388" t="s">
        <v>345</v>
      </c>
      <c r="D62" s="388" t="s">
        <v>346</v>
      </c>
      <c r="E62" s="394"/>
    </row>
    <row r="63" spans="1:5" s="395" customFormat="1">
      <c r="A63" s="388" t="str">
        <f t="shared" si="1"/>
        <v>autres SCE situées sur la SAU</v>
      </c>
      <c r="B63" s="394" t="s">
        <v>1002</v>
      </c>
      <c r="C63" s="388" t="s">
        <v>120</v>
      </c>
      <c r="D63" s="388" t="s">
        <v>310</v>
      </c>
      <c r="E63" s="394"/>
    </row>
    <row r="64" spans="1:5" s="395" customFormat="1">
      <c r="A64" s="388" t="str">
        <f>IF($A$2=1,B64,IF($A$2=2,C64,IF($A$2=3,D64,"")))</f>
        <v>autres surfaces agricoles utiles</v>
      </c>
      <c r="B64" s="394" t="s">
        <v>241</v>
      </c>
      <c r="C64" s="388" t="s">
        <v>242</v>
      </c>
      <c r="D64" s="388" t="s">
        <v>988</v>
      </c>
      <c r="E64" s="394"/>
    </row>
    <row r="65" spans="1:5" s="395" customFormat="1">
      <c r="A65" s="388" t="str">
        <f t="shared" si="1"/>
        <v>autres terres ouvertes</v>
      </c>
      <c r="B65" s="394" t="s">
        <v>240</v>
      </c>
      <c r="C65" s="388" t="s">
        <v>143</v>
      </c>
      <c r="D65" s="388" t="s">
        <v>311</v>
      </c>
      <c r="E65" s="394"/>
    </row>
    <row r="66" spans="1:5" s="395" customFormat="1">
      <c r="A66" s="388" t="str">
        <f t="shared" si="1"/>
        <v>bandes tampons</v>
      </c>
      <c r="B66" s="388" t="s">
        <v>418</v>
      </c>
      <c r="C66" s="388" t="s">
        <v>312</v>
      </c>
      <c r="D66" s="388" t="s">
        <v>522</v>
      </c>
      <c r="E66" s="394"/>
    </row>
    <row r="67" spans="1:5" s="395" customFormat="1">
      <c r="A67" s="388" t="str">
        <f t="shared" si="1"/>
        <v>Valeur de base pour l'exploitation*</v>
      </c>
      <c r="B67" s="388" t="s">
        <v>1065</v>
      </c>
      <c r="C67" s="388" t="s">
        <v>1063</v>
      </c>
      <c r="D67" s="388" t="s">
        <v>1064</v>
      </c>
      <c r="E67" s="394"/>
    </row>
    <row r="68" spans="1:5" s="395" customFormat="1" ht="38.25">
      <c r="A68" s="388" t="str">
        <f t="shared" si="1"/>
        <v>* Montant communiqué par votre canton (décembre 2014) sur le décompte final des paiements directs</v>
      </c>
      <c r="B68" s="534" t="s">
        <v>1066</v>
      </c>
      <c r="C68" s="534" t="s">
        <v>1062</v>
      </c>
      <c r="D68" s="388" t="s">
        <v>1211</v>
      </c>
      <c r="E68" s="394"/>
    </row>
    <row r="69" spans="1:5" s="395" customFormat="1" ht="25.5">
      <c r="A69" s="388" t="str">
        <f t="shared" si="1"/>
        <v>Bétail consommant des fourrages grossiers (effectifs totaux y compris animaux estivés)</v>
      </c>
      <c r="B69" s="394" t="s">
        <v>612</v>
      </c>
      <c r="C69" s="388" t="s">
        <v>613</v>
      </c>
      <c r="D69" s="388" t="s">
        <v>614</v>
      </c>
      <c r="E69" s="394"/>
    </row>
    <row r="70" spans="1:5" s="395" customFormat="1" ht="51">
      <c r="A70" s="388" t="str">
        <f t="shared" si="1"/>
        <v>Bovins et buffles d'Asie &gt;160 jours, équidés femelles et mâles castrés de plus de 900 jours, chèvres &gt; 1 an</v>
      </c>
      <c r="B70" s="569" t="s">
        <v>1450</v>
      </c>
      <c r="C70" s="569" t="s">
        <v>1451</v>
      </c>
      <c r="D70" s="569" t="s">
        <v>1452</v>
      </c>
    </row>
    <row r="71" spans="1:5" s="395" customFormat="1">
      <c r="A71" s="388" t="str">
        <f t="shared" si="1"/>
        <v>* Nouveau facteur UGB pour "autres vaches": 1.0</v>
      </c>
      <c r="B71" s="388" t="s">
        <v>340</v>
      </c>
      <c r="C71" s="388" t="s">
        <v>488</v>
      </c>
      <c r="D71" s="388" t="s">
        <v>790</v>
      </c>
      <c r="E71" s="394"/>
    </row>
    <row r="72" spans="1:5" s="395" customFormat="1" ht="25.5">
      <c r="A72" s="388" t="str">
        <f t="shared" si="1"/>
        <v>Equidés, chèvres et moutons &gt; 1 an</v>
      </c>
      <c r="B72" s="569" t="s">
        <v>1387</v>
      </c>
      <c r="C72" s="569" t="s">
        <v>1388</v>
      </c>
      <c r="D72" s="569" t="s">
        <v>1389</v>
      </c>
      <c r="E72" s="394"/>
    </row>
    <row r="73" spans="1:5" s="395" customFormat="1">
      <c r="A73" s="388" t="str">
        <f t="shared" si="1"/>
        <v>Calcul des paiements directs à partir de 2023</v>
      </c>
      <c r="B73" s="569" t="s">
        <v>1404</v>
      </c>
      <c r="C73" s="569" t="s">
        <v>1405</v>
      </c>
      <c r="D73" s="569" t="s">
        <v>1406</v>
      </c>
      <c r="E73" s="394"/>
    </row>
    <row r="74" spans="1:5" s="395" customFormat="1" ht="25.5">
      <c r="A74" s="388" t="str">
        <f t="shared" si="1"/>
        <v>Calcul des réductions de la contribution de transition dues au revenu et à la fortune</v>
      </c>
      <c r="B74" s="394" t="s">
        <v>877</v>
      </c>
      <c r="C74" s="388" t="s">
        <v>456</v>
      </c>
      <c r="D74" s="388" t="s">
        <v>523</v>
      </c>
      <c r="E74" s="394"/>
    </row>
    <row r="75" spans="1:5" s="395" customFormat="1" ht="25.5">
      <c r="A75" s="388" t="str">
        <f t="shared" si="1"/>
        <v>Calcul des unités de main-d'œuvre standard (UMOS)</v>
      </c>
      <c r="B75" s="394" t="s">
        <v>1004</v>
      </c>
      <c r="C75" s="388" t="s">
        <v>37</v>
      </c>
      <c r="D75" s="388" t="s">
        <v>413</v>
      </c>
      <c r="E75" s="394"/>
    </row>
    <row r="76" spans="1:5" s="395" customFormat="1">
      <c r="A76" s="388" t="str">
        <f t="shared" si="1"/>
        <v>Calcul taux de contribution:</v>
      </c>
      <c r="B76" s="394" t="s">
        <v>1005</v>
      </c>
      <c r="C76" s="388" t="s">
        <v>168</v>
      </c>
      <c r="D76" s="388" t="s">
        <v>414</v>
      </c>
      <c r="E76" s="394"/>
    </row>
    <row r="77" spans="1:5" s="395" customFormat="1">
      <c r="A77" s="388" t="str">
        <f t="shared" si="1"/>
        <v>céréales fourragères</v>
      </c>
      <c r="B77" s="394" t="s">
        <v>1006</v>
      </c>
      <c r="C77" s="388" t="s">
        <v>144</v>
      </c>
      <c r="D77" s="388" t="s">
        <v>415</v>
      </c>
      <c r="E77" s="394"/>
    </row>
    <row r="78" spans="1:5" s="395" customFormat="1">
      <c r="A78" s="388" t="str">
        <f t="shared" si="1"/>
        <v>Céréales (sans maïs grain)</v>
      </c>
      <c r="B78" s="394" t="s">
        <v>243</v>
      </c>
      <c r="C78" s="388" t="s">
        <v>1249</v>
      </c>
      <c r="D78" s="388" t="s">
        <v>629</v>
      </c>
      <c r="E78" s="394"/>
    </row>
    <row r="79" spans="1:5" s="395" customFormat="1" ht="25.5">
      <c r="A79" s="388" t="str">
        <f t="shared" si="1"/>
        <v>Charge min /ha surf herb permanentes hors SPB</v>
      </c>
      <c r="B79" s="394" t="s">
        <v>848</v>
      </c>
      <c r="C79" s="388" t="s">
        <v>897</v>
      </c>
      <c r="D79" s="388" t="s">
        <v>524</v>
      </c>
      <c r="E79" s="394"/>
    </row>
    <row r="80" spans="1:5" s="395" customFormat="1" ht="25.5">
      <c r="A80" s="388" t="str">
        <f t="shared" si="1"/>
        <v>Charge min/ ha surf herb permanentes (hors SPB) et temporaires</v>
      </c>
      <c r="B80" s="394" t="s">
        <v>22</v>
      </c>
      <c r="C80" s="388" t="s">
        <v>483</v>
      </c>
      <c r="D80" s="388" t="s">
        <v>525</v>
      </c>
      <c r="E80" s="394"/>
    </row>
    <row r="81" spans="1:5" s="395" customFormat="1">
      <c r="A81" s="388" t="str">
        <f t="shared" si="1"/>
        <v>Charge minimale en bétail atteinte:</v>
      </c>
      <c r="B81" s="388" t="s">
        <v>898</v>
      </c>
      <c r="C81" s="388" t="s">
        <v>221</v>
      </c>
      <c r="D81" s="388" t="s">
        <v>943</v>
      </c>
      <c r="E81" s="394"/>
    </row>
    <row r="82" spans="1:5" s="395" customFormat="1">
      <c r="A82" s="388" t="str">
        <f t="shared" si="1"/>
        <v>Charge usuelle</v>
      </c>
      <c r="B82" s="394" t="s">
        <v>1007</v>
      </c>
      <c r="C82" s="388" t="s">
        <v>1297</v>
      </c>
      <c r="D82" s="388" t="s">
        <v>1298</v>
      </c>
      <c r="E82" s="394"/>
    </row>
    <row r="83" spans="1:5" s="395" customFormat="1">
      <c r="A83" s="388" t="str">
        <f t="shared" si="1"/>
        <v>Colza</v>
      </c>
      <c r="B83" s="394" t="s">
        <v>117</v>
      </c>
      <c r="C83" s="388" t="s">
        <v>399</v>
      </c>
      <c r="D83" s="388" t="s">
        <v>399</v>
      </c>
      <c r="E83" s="394"/>
    </row>
    <row r="84" spans="1:5" s="395" customFormat="1">
      <c r="A84" s="388" t="str">
        <f t="shared" si="1"/>
        <v>Tournesol, pois protéagineux, féverole</v>
      </c>
      <c r="B84" s="388" t="s">
        <v>397</v>
      </c>
      <c r="C84" s="388" t="s">
        <v>398</v>
      </c>
      <c r="D84" s="388" t="s">
        <v>526</v>
      </c>
      <c r="E84" s="394"/>
    </row>
    <row r="85" spans="1:5" s="395" customFormat="1" ht="25.5">
      <c r="A85" s="388" t="str">
        <f t="shared" si="1"/>
        <v>Colza, tournesol, lin et courge à huile, pavot, carthame</v>
      </c>
      <c r="B85" s="388" t="s">
        <v>359</v>
      </c>
      <c r="C85" s="388" t="s">
        <v>484</v>
      </c>
      <c r="D85" s="388" t="s">
        <v>527</v>
      </c>
      <c r="E85" s="394"/>
    </row>
    <row r="86" spans="1:5" s="395" customFormat="1">
      <c r="A86" s="388" t="str">
        <f t="shared" si="1"/>
        <v>Plants de pommes de terre et semences de maïs</v>
      </c>
      <c r="B86" s="388" t="s">
        <v>1242</v>
      </c>
      <c r="C86" s="388" t="s">
        <v>1243</v>
      </c>
      <c r="D86" s="388" t="s">
        <v>1244</v>
      </c>
      <c r="E86" s="394"/>
    </row>
    <row r="87" spans="1:5" s="395" customFormat="1" ht="25.5">
      <c r="A87" s="388" t="str">
        <f t="shared" si="1"/>
        <v>Semences de graminées et légumineuses fourragères</v>
      </c>
      <c r="B87" s="388" t="s">
        <v>1245</v>
      </c>
      <c r="C87" s="388" t="s">
        <v>1246</v>
      </c>
      <c r="D87" s="388" t="s">
        <v>1247</v>
      </c>
      <c r="E87" s="394"/>
    </row>
    <row r="88" spans="1:5" s="395" customFormat="1">
      <c r="A88" s="388" t="str">
        <f t="shared" si="1"/>
        <v>Soja</v>
      </c>
      <c r="B88" s="388" t="s">
        <v>360</v>
      </c>
      <c r="C88" s="388" t="s">
        <v>360</v>
      </c>
      <c r="D88" s="388" t="s">
        <v>528</v>
      </c>
      <c r="E88" s="394"/>
    </row>
    <row r="89" spans="1:5" s="395" customFormat="1" ht="25.5">
      <c r="A89" s="388" t="str">
        <f t="shared" si="1"/>
        <v>Pois protéagineux, féverole et lupin fourragers</v>
      </c>
      <c r="B89" s="388" t="s">
        <v>361</v>
      </c>
      <c r="C89" s="388" t="s">
        <v>507</v>
      </c>
      <c r="D89" s="388" t="s">
        <v>529</v>
      </c>
      <c r="E89" s="394"/>
    </row>
    <row r="90" spans="1:5" s="395" customFormat="1" ht="25.5">
      <c r="A90" s="388" t="str">
        <f t="shared" si="1"/>
        <v>Betteraves destinées à la production de sucre</v>
      </c>
      <c r="B90" s="388" t="s">
        <v>1003</v>
      </c>
      <c r="C90" s="388" t="s">
        <v>506</v>
      </c>
      <c r="D90" s="388" t="s">
        <v>530</v>
      </c>
      <c r="E90" s="394"/>
    </row>
    <row r="91" spans="1:5" s="395" customFormat="1" ht="25.5">
      <c r="A91" s="388" t="str">
        <f t="shared" si="1"/>
        <v>Contribution pour terres ouvertes et c. pérennes</v>
      </c>
      <c r="B91" s="394" t="s">
        <v>853</v>
      </c>
      <c r="C91" s="388" t="s">
        <v>457</v>
      </c>
      <c r="D91" s="388" t="s">
        <v>531</v>
      </c>
      <c r="E91" s="394"/>
    </row>
    <row r="92" spans="1:5" s="395" customFormat="1" ht="25.5">
      <c r="A92" s="388" t="str">
        <f t="shared" si="1"/>
        <v>Contributions à la sécurité de l'approvisionnement (CSA, Art. 50 à 54 et Annexe 7 OPD)</v>
      </c>
      <c r="B92" s="388" t="s">
        <v>318</v>
      </c>
      <c r="C92" s="388" t="s">
        <v>319</v>
      </c>
      <c r="D92" s="388" t="s">
        <v>320</v>
      </c>
      <c r="E92" s="394"/>
    </row>
    <row r="93" spans="1:5" s="395" customFormat="1" ht="25.5">
      <c r="A93" s="388" t="str">
        <f t="shared" si="1"/>
        <v>Contributions au système de production (CSP, Art. 65 à 76 et Annexe 7 OPD)</v>
      </c>
      <c r="B93" s="388" t="s">
        <v>95</v>
      </c>
      <c r="C93" s="388" t="s">
        <v>96</v>
      </c>
      <c r="D93" s="388" t="s">
        <v>97</v>
      </c>
      <c r="E93" s="394"/>
    </row>
    <row r="94" spans="1:5" s="395" customFormat="1">
      <c r="A94" s="388" t="str">
        <f t="shared" si="1"/>
        <v>Contribution de base</v>
      </c>
      <c r="B94" s="394" t="s">
        <v>1008</v>
      </c>
      <c r="C94" s="388" t="s">
        <v>58</v>
      </c>
      <c r="D94" s="388" t="s">
        <v>416</v>
      </c>
      <c r="E94" s="394"/>
    </row>
    <row r="95" spans="1:5" s="395" customFormat="1" ht="38.25">
      <c r="A95" s="388" t="str">
        <f t="shared" si="1"/>
        <v>Contributions pour des cultures particulières (selon Ord. sur les contrib. à des cultures particulières)</v>
      </c>
      <c r="B95" s="388" t="s">
        <v>1252</v>
      </c>
      <c r="C95" s="388" t="s">
        <v>1253</v>
      </c>
      <c r="D95" s="388" t="s">
        <v>1254</v>
      </c>
      <c r="E95" s="394" t="s">
        <v>322</v>
      </c>
    </row>
    <row r="96" spans="1:5" s="395" customFormat="1">
      <c r="A96" s="388" t="str">
        <f>IF($A$2=1,B96,IF($A$2=2,C96,IF($A$2=3,D96,"")))</f>
        <v>Total contributions pour des cultures particulières</v>
      </c>
      <c r="B96" s="394" t="s">
        <v>363</v>
      </c>
      <c r="C96" s="388" t="s">
        <v>508</v>
      </c>
      <c r="D96" s="388" t="s">
        <v>532</v>
      </c>
      <c r="E96" s="394"/>
    </row>
    <row r="97" spans="1:5" s="395" customFormat="1" ht="25.5">
      <c r="A97" s="388" t="str">
        <f t="shared" si="1"/>
        <v>Contribution à la production dans des conditions difficiles</v>
      </c>
      <c r="B97" s="394" t="s">
        <v>852</v>
      </c>
      <c r="C97" s="388" t="s">
        <v>458</v>
      </c>
      <c r="D97" s="388" t="s">
        <v>533</v>
      </c>
      <c r="E97" s="394"/>
    </row>
    <row r="98" spans="1:5" s="395" customFormat="1" ht="25.5">
      <c r="A98" s="388" t="str">
        <f t="shared" si="1"/>
        <v>Contributions à la biodiversité (CBD, Art. 55 à 60 et Annexe 7 OPD)</v>
      </c>
      <c r="B98" s="388" t="s">
        <v>323</v>
      </c>
      <c r="C98" s="388" t="s">
        <v>324</v>
      </c>
      <c r="D98" s="388" t="s">
        <v>325</v>
      </c>
      <c r="E98" s="394"/>
    </row>
    <row r="99" spans="1:5" s="395" customFormat="1">
      <c r="A99" s="388" t="str">
        <f t="shared" si="1"/>
        <v>Contributions du niveau de qualité 1</v>
      </c>
      <c r="B99" s="394" t="s">
        <v>867</v>
      </c>
      <c r="C99" s="388" t="s">
        <v>459</v>
      </c>
      <c r="D99" s="388" t="s">
        <v>534</v>
      </c>
      <c r="E99" s="394"/>
    </row>
    <row r="100" spans="1:5" s="395" customFormat="1" ht="25.5">
      <c r="A100" s="388" t="str">
        <f t="shared" si="1"/>
        <v>Production de lait et de viande basée sur les herbages</v>
      </c>
      <c r="B100" s="388" t="s">
        <v>663</v>
      </c>
      <c r="C100" s="388" t="s">
        <v>662</v>
      </c>
      <c r="D100" s="388" t="s">
        <v>535</v>
      </c>
      <c r="E100" s="394"/>
    </row>
    <row r="101" spans="1:5" s="395" customFormat="1">
      <c r="A101" s="388" t="str">
        <f t="shared" si="1"/>
        <v>Contributions du niveau de qualité 2</v>
      </c>
      <c r="B101" s="394" t="s">
        <v>872</v>
      </c>
      <c r="C101" s="388" t="s">
        <v>460</v>
      </c>
      <c r="D101" s="388" t="s">
        <v>536</v>
      </c>
      <c r="E101" s="394"/>
    </row>
    <row r="102" spans="1:5" s="395" customFormat="1">
      <c r="A102" s="388" t="str">
        <f t="shared" ref="A102:A184" si="2">IF($A$2=1,B102,IF($A$2=2,C102,IF($A$2=3,D102,"")))</f>
        <v>Contributions du niveau de qualité 3**</v>
      </c>
      <c r="B102" s="388" t="s">
        <v>1067</v>
      </c>
      <c r="C102" s="388" t="s">
        <v>1068</v>
      </c>
      <c r="D102" s="388" t="s">
        <v>1069</v>
      </c>
      <c r="E102" s="394"/>
    </row>
    <row r="103" spans="1:5" s="395" customFormat="1" ht="38.25">
      <c r="A103" s="388" t="str">
        <f>IF($A$2=1,B103,IF($A$2=2,C103,IF($A$2=3,D103,"")))</f>
        <v>** Les contributions pour le niveau de qualité 3 n'entrent pas en vigueur en 2016 à cause de la simplification des tâches administratives.</v>
      </c>
      <c r="B103" s="388" t="s">
        <v>1101</v>
      </c>
      <c r="C103" s="388" t="s">
        <v>1102</v>
      </c>
      <c r="D103" s="388" t="s">
        <v>1204</v>
      </c>
      <c r="E103" s="394"/>
    </row>
    <row r="104" spans="1:5" s="395" customFormat="1" ht="25.5">
      <c r="A104" s="388" t="str">
        <f t="shared" si="2"/>
        <v>Contribution à la qualité du paysage (CQP, Art. 63 et 64 et Annexe 7 OPD)</v>
      </c>
      <c r="B104" s="388" t="s">
        <v>331</v>
      </c>
      <c r="C104" s="388" t="s">
        <v>332</v>
      </c>
      <c r="D104" s="388" t="s">
        <v>333</v>
      </c>
      <c r="E104" s="394"/>
    </row>
    <row r="105" spans="1:5" s="395" customFormat="1" ht="25.5">
      <c r="A105" s="388" t="str">
        <f t="shared" si="2"/>
        <v>Contributions à la sécurité de l'approvisionnement**</v>
      </c>
      <c r="B105" s="394" t="s">
        <v>371</v>
      </c>
      <c r="C105" s="388" t="s">
        <v>668</v>
      </c>
      <c r="D105" s="388" t="s">
        <v>537</v>
      </c>
      <c r="E105" s="394"/>
    </row>
    <row r="106" spans="1:5" s="395" customFormat="1">
      <c r="A106" s="388" t="str">
        <f t="shared" si="2"/>
        <v>Contribution de transition (CT, Art. 84 à 96 OPD)</v>
      </c>
      <c r="B106" s="388" t="s">
        <v>341</v>
      </c>
      <c r="C106" s="388" t="s">
        <v>342</v>
      </c>
      <c r="D106" s="388" t="s">
        <v>343</v>
      </c>
      <c r="E106" s="394"/>
    </row>
    <row r="107" spans="1:5" s="395" customFormat="1">
      <c r="A107" s="388" t="str">
        <f t="shared" si="2"/>
        <v>Calcul de la contribution de transition</v>
      </c>
      <c r="B107" s="394" t="s">
        <v>890</v>
      </c>
      <c r="C107" s="388" t="s">
        <v>878</v>
      </c>
      <c r="D107" s="388" t="s">
        <v>538</v>
      </c>
      <c r="E107" s="394"/>
    </row>
    <row r="108" spans="1:5" s="395" customFormat="1">
      <c r="A108" s="388" t="str">
        <f t="shared" si="2"/>
        <v>Contribution de transition versée</v>
      </c>
      <c r="B108" s="394" t="s">
        <v>891</v>
      </c>
      <c r="C108" s="388" t="s">
        <v>879</v>
      </c>
      <c r="D108" s="388" t="s">
        <v>539</v>
      </c>
      <c r="E108" s="394"/>
    </row>
    <row r="109" spans="1:5" s="395" customFormat="1">
      <c r="A109" s="388" t="str">
        <f t="shared" si="2"/>
        <v>Contributions à l'efficience des ressources</v>
      </c>
      <c r="B109" s="388" t="s">
        <v>443</v>
      </c>
      <c r="C109" s="388" t="s">
        <v>313</v>
      </c>
      <c r="D109" s="388" t="s">
        <v>540</v>
      </c>
      <c r="E109" s="394"/>
    </row>
    <row r="110" spans="1:5" s="395" customFormat="1" ht="25.5">
      <c r="A110" s="388" t="str">
        <f t="shared" si="2"/>
        <v>Contributions à l'efficience des ressources (nationales: CER, Art. 82 et Annexe 7 OPD)</v>
      </c>
      <c r="B110" s="569" t="s">
        <v>1453</v>
      </c>
      <c r="C110" s="569" t="s">
        <v>1454</v>
      </c>
      <c r="D110" s="569" t="s">
        <v>1455</v>
      </c>
      <c r="E110" s="394"/>
    </row>
    <row r="111" spans="1:5" s="395" customFormat="1" ht="25.5">
      <c r="A111" s="388" t="str">
        <f>IF($A$2=1,B111,IF($A$2=2,C111,IF($A$2=3,D111,"")))</f>
        <v>Contributions à l'efficience des ressources (nationales: Art. 77 à 83 et Annexe 7 OPD)</v>
      </c>
      <c r="B111" s="388" t="s">
        <v>347</v>
      </c>
      <c r="C111" s="388" t="s">
        <v>348</v>
      </c>
      <c r="D111" s="388" t="s">
        <v>349</v>
      </c>
      <c r="E111" s="394"/>
    </row>
    <row r="112" spans="1:5" s="395" customFormat="1" ht="25.5">
      <c r="A112" s="388" t="str">
        <f t="shared" si="2"/>
        <v>Contributions à l'efficience des ressources (régionales: Art. 77 a/b LAgr et Art. 62a LEaux)</v>
      </c>
      <c r="B112" s="388" t="s">
        <v>365</v>
      </c>
      <c r="C112" s="388" t="s">
        <v>665</v>
      </c>
      <c r="D112" s="388" t="s">
        <v>541</v>
      </c>
      <c r="E112" s="394"/>
    </row>
    <row r="113" spans="1:5" s="395" customFormat="1">
      <c r="A113" s="388" t="str">
        <f t="shared" si="2"/>
        <v>Contributions actuelles*:</v>
      </c>
      <c r="B113" s="394" t="s">
        <v>278</v>
      </c>
      <c r="C113" s="388" t="s">
        <v>279</v>
      </c>
      <c r="D113" s="388" t="s">
        <v>542</v>
      </c>
      <c r="E113" s="394"/>
    </row>
    <row r="114" spans="1:5" s="395" customFormat="1" ht="25.5">
      <c r="A114" s="388" t="str">
        <f t="shared" si="2"/>
        <v>Contributions au paysage cultivé (CPC, Art. 42 à 49 et Annexe 7 OPD)</v>
      </c>
      <c r="B114" s="388" t="s">
        <v>314</v>
      </c>
      <c r="C114" s="388" t="s">
        <v>315</v>
      </c>
      <c r="D114" s="388" t="s">
        <v>316</v>
      </c>
      <c r="E114" s="394"/>
    </row>
    <row r="115" spans="1:5" s="395" customFormat="1">
      <c r="A115" s="388" t="str">
        <f t="shared" si="2"/>
        <v>Contributions au paysage cultivé**</v>
      </c>
      <c r="B115" s="388" t="s">
        <v>370</v>
      </c>
      <c r="C115" s="388" t="s">
        <v>669</v>
      </c>
      <c r="D115" s="388" t="s">
        <v>543</v>
      </c>
      <c r="E115" s="394"/>
    </row>
    <row r="116" spans="1:5" s="395" customFormat="1" ht="63.75">
      <c r="A116" s="388" t="str">
        <f>IF($A$2=1,B116,IF($A$2=2,C116,IF($A$2=3,D116,"")))</f>
        <v>(Contributions au paysage cultivé: sans contribution d'estivage; contributions à la sécurité de l'approvisionnement: sans prise en compte de la charge minimale et sans contribution pour les cultures particulières)</v>
      </c>
      <c r="B116" s="388" t="s">
        <v>671</v>
      </c>
      <c r="C116" s="388" t="s">
        <v>670</v>
      </c>
      <c r="D116" s="388" t="s">
        <v>544</v>
      </c>
      <c r="E116" s="394"/>
    </row>
    <row r="117" spans="1:5" s="395" customFormat="1" ht="25.5">
      <c r="A117" s="388" t="str">
        <f t="shared" si="2"/>
        <v>Contribution au maintien d’un paysage ouvert*</v>
      </c>
      <c r="B117" s="394" t="s">
        <v>603</v>
      </c>
      <c r="C117" s="388" t="s">
        <v>604</v>
      </c>
      <c r="D117" s="388" t="s">
        <v>605</v>
      </c>
      <c r="E117" s="394"/>
    </row>
    <row r="118" spans="1:5" s="395" customFormat="1" ht="38.25">
      <c r="A118" s="388" t="str">
        <f t="shared" si="2"/>
        <v xml:space="preserve"> *SAU donnant droit aux contr. (voir déf. dans feuille "Transition"), sans haies, bosquets et berges boisées</v>
      </c>
      <c r="B118" s="394" t="s">
        <v>76</v>
      </c>
      <c r="C118" s="388" t="s">
        <v>623</v>
      </c>
      <c r="D118" s="388" t="s">
        <v>791</v>
      </c>
      <c r="E118" s="394"/>
    </row>
    <row r="119" spans="1:5" s="395" customFormat="1">
      <c r="A119" s="388" t="str">
        <f t="shared" si="2"/>
        <v>Contribution mise en réseau</v>
      </c>
      <c r="B119" s="394" t="s">
        <v>236</v>
      </c>
      <c r="C119" s="388" t="s">
        <v>237</v>
      </c>
      <c r="D119" s="388" t="s">
        <v>545</v>
      </c>
      <c r="E119" s="394"/>
    </row>
    <row r="120" spans="1:5" s="395" customFormat="1">
      <c r="A120" s="388" t="str">
        <f t="shared" si="2"/>
        <v>Non-recours aux produits phytosanitaires</v>
      </c>
      <c r="B120" s="560" t="s">
        <v>1311</v>
      </c>
      <c r="C120" s="569" t="s">
        <v>1333</v>
      </c>
      <c r="D120" s="559"/>
      <c r="E120" s="394"/>
    </row>
    <row r="121" spans="1:5" s="395" customFormat="1" ht="25.5">
      <c r="A121" s="388" t="str">
        <f>IF($A$2=1,B121,IF($A$2=2,C121,IF($A$2=3,D121,"")))</f>
        <v>Non-recours aux produits phytosanitaires dans les grandes cultures</v>
      </c>
      <c r="B121" s="560" t="s">
        <v>1343</v>
      </c>
      <c r="C121" s="569" t="s">
        <v>1408</v>
      </c>
      <c r="D121" s="559"/>
      <c r="E121" s="394"/>
    </row>
    <row r="122" spans="1:5" s="395" customFormat="1" ht="102">
      <c r="A122" s="388" t="str">
        <f>IF($A$2=1,B122,IF($A$2=2,C122,IF($A$2=3,D122,"")))</f>
        <v>a) - Aucune contribution n’est versée pour: le maïs, les céréales ensilées, les cultures spéciales, les surfaces de promotion de la biodiversité visées à l’art. 55, à l’exception des céréales en lignes de semis espacées, les cultures dans lesquelles les insecticides et fongicides ne doivent pas être utilisés en vertu de l’art. 18, al. 1 à 5</v>
      </c>
      <c r="B122" s="560" t="s">
        <v>1357</v>
      </c>
      <c r="C122" s="569" t="s">
        <v>1358</v>
      </c>
      <c r="D122" s="559"/>
      <c r="E122" s="394"/>
    </row>
    <row r="123" spans="1:5" s="395" customFormat="1" ht="25.5">
      <c r="A123" s="388" t="str">
        <f t="shared" si="2"/>
        <v>Colza, pommes de terre, légumes de conserve de plein champ et betteraves sucrières</v>
      </c>
      <c r="B123" s="560" t="s">
        <v>1342</v>
      </c>
      <c r="C123" s="569" t="s">
        <v>1339</v>
      </c>
      <c r="D123" s="559"/>
      <c r="E123" s="394"/>
    </row>
    <row r="124" spans="1:5" s="395" customFormat="1" ht="38.25">
      <c r="A124" s="388" t="str">
        <f t="shared" si="2"/>
        <v>Non-recours aux insecticides et aux acaricides dans les cultures maraîchères et les cultures de petits fruits</v>
      </c>
      <c r="B124" s="560" t="s">
        <v>1336</v>
      </c>
      <c r="C124" s="569" t="s">
        <v>1335</v>
      </c>
      <c r="D124" s="559"/>
      <c r="E124" s="394"/>
    </row>
    <row r="125" spans="1:5" s="395" customFormat="1" ht="25.5">
      <c r="A125" s="388" t="str">
        <f t="shared" si="2"/>
        <v>Cultures maraîchères de plein champ annuelles et cultures annuelles de petits fruits</v>
      </c>
      <c r="B125" s="560" t="s">
        <v>1427</v>
      </c>
      <c r="C125" s="569" t="s">
        <v>1428</v>
      </c>
      <c r="D125" s="559"/>
      <c r="E125" s="394"/>
    </row>
    <row r="126" spans="1:5" s="395" customFormat="1" ht="38.25">
      <c r="A126" s="388" t="str">
        <f t="shared" si="2"/>
        <v>Non-recours aux insecticides, aux acaricides et aux fongicides dans les cultures pérennes après la floraison</v>
      </c>
      <c r="B126" s="560" t="s">
        <v>1312</v>
      </c>
      <c r="C126" s="569" t="s">
        <v>1334</v>
      </c>
      <c r="D126" s="559"/>
      <c r="E126" s="394"/>
    </row>
    <row r="127" spans="1:5" s="395" customFormat="1" ht="38.25">
      <c r="A127" s="388" t="str">
        <f t="shared" si="2"/>
        <v>Arboriculture fruitière, pour les vergers au sens de l’art. 22, al. 2, Oterm, viticulture, culture de petits fruits</v>
      </c>
      <c r="B127" s="560" t="s">
        <v>1432</v>
      </c>
      <c r="C127" s="569" t="s">
        <v>1429</v>
      </c>
      <c r="D127" s="559"/>
      <c r="E127" s="394"/>
    </row>
    <row r="128" spans="1:5" s="395" customFormat="1" ht="38.25">
      <c r="A128" s="388" t="str">
        <f>IF($A$2=1,B128,IF($A$2=2,C128,IF($A$2=3,D128,"")))</f>
        <v>Exploitation de surfaces de cultures pérennes à l’aide d’intrants conformes à l’agriculture biologique</v>
      </c>
      <c r="B128" s="560" t="s">
        <v>1313</v>
      </c>
      <c r="C128" s="569" t="s">
        <v>1337</v>
      </c>
      <c r="D128" s="559"/>
      <c r="E128" s="394"/>
    </row>
    <row r="129" spans="1:5" s="395" customFormat="1" ht="51">
      <c r="A129" s="388" t="str">
        <f>IF($A$2=1,B129,IF($A$2=2,C129,IF($A$2=3,D129,"")))</f>
        <v>Arboriculture fruitière, pour les vergers au sens de l’art. 22, al. 2, Oterm, viticulture, culture de petits fruits, permaculture exploitées à l’aide d’intrants conformes à l’agriculture biologique</v>
      </c>
      <c r="B129" s="560" t="s">
        <v>1433</v>
      </c>
      <c r="C129" s="569" t="s">
        <v>1409</v>
      </c>
      <c r="D129" s="559"/>
      <c r="E129" s="394"/>
    </row>
    <row r="130" spans="1:5" s="395" customFormat="1" ht="25.5">
      <c r="A130" s="388" t="str">
        <f>IF($A$2=1,B130,IF($A$2=2,C130,IF($A$2=3,D130,"")))</f>
        <v>Non-recours aux herbicides dans les grandes cultures et les cultures spéciales</v>
      </c>
      <c r="B130" s="560" t="s">
        <v>1314</v>
      </c>
      <c r="C130" s="569" t="s">
        <v>1338</v>
      </c>
      <c r="D130" s="559"/>
      <c r="E130" s="394"/>
    </row>
    <row r="131" spans="1:5" s="395" customFormat="1" ht="25.5">
      <c r="A131" s="388" t="str">
        <f t="shared" ref="A131:A133" si="3">IF($A$2=1,B131,IF($A$2=2,C131,IF($A$2=3,D131,"")))</f>
        <v>Colza, pommes de terre et légumes de conserve de plein champ</v>
      </c>
      <c r="B131" s="560" t="s">
        <v>1344</v>
      </c>
      <c r="C131" s="569" t="s">
        <v>1346</v>
      </c>
      <c r="D131" s="559"/>
      <c r="E131" s="394"/>
    </row>
    <row r="132" spans="1:5" s="395" customFormat="1" ht="25.5">
      <c r="A132" s="388" t="str">
        <f t="shared" si="3"/>
        <v>Cultures spéciales, à l’exception du tabac et des racines de chicorées</v>
      </c>
      <c r="B132" s="560" t="s">
        <v>1430</v>
      </c>
      <c r="C132" s="569" t="s">
        <v>1431</v>
      </c>
      <c r="D132" s="559"/>
      <c r="E132" s="394"/>
    </row>
    <row r="133" spans="1:5" s="395" customFormat="1">
      <c r="A133" s="388" t="str">
        <f t="shared" si="3"/>
        <v>Cultures principales sur les autres terres ouvertes</v>
      </c>
      <c r="B133" s="560" t="s">
        <v>1315</v>
      </c>
      <c r="C133" s="569" t="s">
        <v>1345</v>
      </c>
      <c r="D133" s="559"/>
      <c r="E133" s="394"/>
    </row>
    <row r="134" spans="1:5" s="395" customFormat="1">
      <c r="A134" s="388" t="str">
        <f t="shared" ref="A134:A157" si="4">IF($A$2=1,B134,IF($A$2=2,C134,IF($A$2=3,D134,"")))</f>
        <v>Bandes semées pour organismes utiles</v>
      </c>
      <c r="B134" s="560" t="s">
        <v>1352</v>
      </c>
      <c r="C134" s="569" t="s">
        <v>1353</v>
      </c>
      <c r="D134" s="559"/>
      <c r="E134" s="394"/>
    </row>
    <row r="135" spans="1:5" s="395" customFormat="1" ht="25.5">
      <c r="A135" s="388" t="str">
        <f t="shared" si="4"/>
        <v>Bandes semées pour organismes utiles dans les terres ouvertes</v>
      </c>
      <c r="B135" s="560" t="s">
        <v>1316</v>
      </c>
      <c r="C135" s="569" t="s">
        <v>1354</v>
      </c>
      <c r="D135" s="559"/>
      <c r="E135" s="394"/>
    </row>
    <row r="136" spans="1:5" s="395" customFormat="1" ht="38.25">
      <c r="A136" s="388" t="str">
        <f t="shared" si="4"/>
        <v>Bandes semées pour organismes utiles dans les cultures pérennes (vigne, culture fruitière, culture de petits fruits, permaculture)</v>
      </c>
      <c r="B136" s="560" t="s">
        <v>1355</v>
      </c>
      <c r="C136" s="569" t="s">
        <v>1356</v>
      </c>
      <c r="D136" s="559"/>
      <c r="E136" s="394"/>
    </row>
    <row r="137" spans="1:5" s="395" customFormat="1">
      <c r="A137" s="388" t="str">
        <f t="shared" si="4"/>
        <v>Amélioration de la fertilité du sol</v>
      </c>
      <c r="B137" s="560" t="s">
        <v>1310</v>
      </c>
      <c r="C137" s="569" t="s">
        <v>1366</v>
      </c>
      <c r="D137" s="388"/>
      <c r="E137" s="394"/>
    </row>
    <row r="138" spans="1:5" s="395" customFormat="1">
      <c r="A138" s="388" t="str">
        <f t="shared" si="4"/>
        <v>Couverture appropriée du sol</v>
      </c>
      <c r="B138" s="560" t="s">
        <v>1309</v>
      </c>
      <c r="C138" s="569" t="s">
        <v>1365</v>
      </c>
      <c r="D138" s="388"/>
      <c r="E138" s="394"/>
    </row>
    <row r="139" spans="1:5" s="395" customFormat="1" ht="63.75">
      <c r="A139" s="388" t="str">
        <f t="shared" si="4"/>
        <v>Cultures principales sur terres ouvertes (à l’exception des cultures annuelles de légumes de plein champ et des cultures annuelles de petits fruits, ainsi que des plantes aromatiques et médicinales)</v>
      </c>
      <c r="B139" s="560" t="s">
        <v>1436</v>
      </c>
      <c r="C139" s="569" t="s">
        <v>1438</v>
      </c>
      <c r="D139" s="388"/>
      <c r="E139" s="394"/>
    </row>
    <row r="140" spans="1:5" s="395" customFormat="1" ht="51">
      <c r="A140" s="388" t="str">
        <f t="shared" si="4"/>
        <v>Cultures annuelles de légumes de plein champ (à l’exception des légumes de conserve de plein champ), cultures annuelles de petits fruits, plantes aromatiques et médicinales sur les terres ouvertes</v>
      </c>
      <c r="B140" s="560" t="s">
        <v>1439</v>
      </c>
      <c r="C140" s="569" t="s">
        <v>1437</v>
      </c>
      <c r="D140" s="388"/>
      <c r="E140" s="394"/>
    </row>
    <row r="141" spans="1:5" s="395" customFormat="1">
      <c r="A141" s="388" t="str">
        <f t="shared" si="4"/>
        <v>Vigne</v>
      </c>
      <c r="B141" s="560" t="s">
        <v>118</v>
      </c>
      <c r="C141" s="569" t="s">
        <v>1440</v>
      </c>
      <c r="D141" s="388"/>
      <c r="E141" s="394"/>
    </row>
    <row r="142" spans="1:5" s="395" customFormat="1" ht="25.5">
      <c r="A142" s="388" t="str">
        <f t="shared" si="4"/>
        <v>Techniques culturales préservant le sol dans les cultures principales sur terres assolées</v>
      </c>
      <c r="B142" s="560" t="s">
        <v>1317</v>
      </c>
      <c r="C142" s="569" t="s">
        <v>1368</v>
      </c>
      <c r="D142" s="388"/>
      <c r="E142" s="394"/>
    </row>
    <row r="143" spans="1:5" s="395" customFormat="1" ht="38.25">
      <c r="A143" s="388" t="str">
        <f t="shared" si="4"/>
        <v>Terres assolées en semis direct, semis en bandes fraisées, semis en bandes (strip-till) ou semis sous litière</v>
      </c>
      <c r="B143" s="560" t="s">
        <v>1370</v>
      </c>
      <c r="C143" s="569" t="s">
        <v>1367</v>
      </c>
      <c r="D143" s="388"/>
      <c r="E143" s="394"/>
    </row>
    <row r="144" spans="1:5" s="395" customFormat="1" ht="25.5">
      <c r="A144" s="388" t="str">
        <f t="shared" si="4"/>
        <v>Utilisation efficiente de l’azote dans les grandes cultures</v>
      </c>
      <c r="B144" s="560" t="s">
        <v>1371</v>
      </c>
      <c r="C144" s="569" t="s">
        <v>1372</v>
      </c>
      <c r="D144" s="388"/>
      <c r="E144" s="394"/>
    </row>
    <row r="145" spans="1:5" s="395" customFormat="1" ht="51">
      <c r="A145" s="388" t="str">
        <f t="shared" si="4"/>
        <v>L’apport en azote dans l’ensemble de l’exploitation ne dépasse pas 90 % des besoins des cultures (bilan calculé à l’aide de la méthode «Suisse-Bilanz»)</v>
      </c>
      <c r="B145" s="560" t="s">
        <v>1375</v>
      </c>
      <c r="C145" s="569" t="s">
        <v>1376</v>
      </c>
      <c r="D145" s="388"/>
      <c r="E145" s="394"/>
    </row>
    <row r="146" spans="1:5" s="395" customFormat="1">
      <c r="A146" s="388" t="str">
        <f t="shared" si="4"/>
        <v>Terres assolées</v>
      </c>
      <c r="B146" s="560" t="s">
        <v>1373</v>
      </c>
      <c r="C146" s="569" t="s">
        <v>1374</v>
      </c>
      <c r="D146" s="388"/>
      <c r="E146" s="394"/>
    </row>
    <row r="147" spans="1:5" s="395" customFormat="1">
      <c r="A147" s="388" t="str">
        <f t="shared" si="4"/>
        <v>Contribution à la mise au pâturage</v>
      </c>
      <c r="B147" s="560" t="s">
        <v>1380</v>
      </c>
      <c r="C147" s="569" t="s">
        <v>1379</v>
      </c>
      <c r="D147" s="388"/>
      <c r="E147" s="394"/>
    </row>
    <row r="148" spans="1:5" s="395" customFormat="1" ht="25.5">
      <c r="A148" s="388" t="str">
        <f t="shared" si="4"/>
        <v>Bovins et buffles d'Asie &gt;160 jours</v>
      </c>
      <c r="B148" s="560" t="s">
        <v>1319</v>
      </c>
      <c r="C148" s="569" t="s">
        <v>1382</v>
      </c>
      <c r="D148" s="388"/>
      <c r="E148" s="394"/>
    </row>
    <row r="149" spans="1:5" s="395" customFormat="1" ht="51">
      <c r="A149" s="388" t="str">
        <f t="shared" si="4"/>
        <v>*La contribution n’est octroyée que si des sorties selon les règles SRPA sont accordées à tous les animaux des catégories bovins et buffles d’Asie</v>
      </c>
      <c r="B149" s="560" t="s">
        <v>1321</v>
      </c>
      <c r="C149" s="569" t="s">
        <v>1381</v>
      </c>
      <c r="D149" s="388"/>
      <c r="E149" s="394"/>
    </row>
    <row r="150" spans="1:5" s="395" customFormat="1" ht="38.25">
      <c r="A150" s="388" t="str">
        <f t="shared" si="4"/>
        <v>*Aucune contribution SRPA n’est octroyée pour les catégories d’animaux pour lesquelles une contribution à la mise au pâturage est versée</v>
      </c>
      <c r="B150" s="560" t="s">
        <v>1320</v>
      </c>
      <c r="C150" s="569" t="s">
        <v>1386</v>
      </c>
      <c r="D150" s="388"/>
      <c r="E150" s="394"/>
    </row>
    <row r="151" spans="1:5" s="395" customFormat="1" ht="25.5">
      <c r="A151" s="388" t="str">
        <f t="shared" si="4"/>
        <v>Contribution supplémentaire pour les betteraves destinées à la fabrication de sucre</v>
      </c>
      <c r="B151" s="560" t="s">
        <v>1400</v>
      </c>
      <c r="C151" s="569" t="s">
        <v>1407</v>
      </c>
      <c r="D151" s="388"/>
      <c r="E151" s="394"/>
    </row>
    <row r="152" spans="1:5" s="395" customFormat="1" ht="63.75">
      <c r="A152" s="388" t="str">
        <f t="shared" si="4"/>
        <v>**Le supplément est versé à la condition qu’une des contributions suivantes soit versée: la contribution pour l’agriculture biologique ou la contribution pour le non-recours aux fongicides et aux insecticides.</v>
      </c>
      <c r="B152" s="560" t="s">
        <v>1402</v>
      </c>
      <c r="C152" s="569" t="s">
        <v>1401</v>
      </c>
      <c r="D152" s="388"/>
      <c r="E152" s="394"/>
    </row>
    <row r="153" spans="1:5" s="395" customFormat="1">
      <c r="A153" s="388" t="str">
        <f t="shared" si="4"/>
        <v>Durée de vie productive plus longue des vaches</v>
      </c>
      <c r="B153" s="560" t="s">
        <v>1330</v>
      </c>
      <c r="C153" s="569" t="s">
        <v>1390</v>
      </c>
      <c r="D153" s="388"/>
      <c r="E153" s="394"/>
    </row>
    <row r="154" spans="1:5" s="395" customFormat="1">
      <c r="A154" s="388" t="str">
        <f t="shared" si="4"/>
        <v>Vaches laitières</v>
      </c>
      <c r="B154" s="560" t="s">
        <v>1331</v>
      </c>
      <c r="C154" s="569" t="s">
        <v>1391</v>
      </c>
      <c r="D154" s="388"/>
      <c r="E154" s="394"/>
    </row>
    <row r="155" spans="1:5" s="395" customFormat="1">
      <c r="A155" s="388" t="str">
        <f t="shared" si="4"/>
        <v>Autres vaches</v>
      </c>
      <c r="B155" s="560" t="s">
        <v>1332</v>
      </c>
      <c r="C155" s="569" t="s">
        <v>1392</v>
      </c>
      <c r="D155" s="388"/>
      <c r="E155" s="394"/>
    </row>
    <row r="156" spans="1:5" s="395" customFormat="1">
      <c r="A156" s="388" t="str">
        <f t="shared" si="4"/>
        <v>Nombre moyen de vêlages</v>
      </c>
      <c r="B156" s="560" t="s">
        <v>1393</v>
      </c>
      <c r="C156" s="569" t="s">
        <v>1394</v>
      </c>
      <c r="D156" s="388"/>
      <c r="E156" s="394"/>
    </row>
    <row r="157" spans="1:5" s="395" customFormat="1" ht="25.5">
      <c r="A157" s="388" t="str">
        <f t="shared" si="4"/>
        <v>*par vache qui a été abattue au cours des trois années civiles précédentes</v>
      </c>
      <c r="B157" s="605" t="s">
        <v>1395</v>
      </c>
      <c r="C157" s="569" t="s">
        <v>1396</v>
      </c>
      <c r="D157" s="388"/>
      <c r="E157" s="394"/>
    </row>
    <row r="158" spans="1:5" s="395" customFormat="1" ht="25.5">
      <c r="A158" s="388" t="str">
        <f t="shared" si="2"/>
        <v>Culture extensive de céréales, oléagineux et protéagineux</v>
      </c>
      <c r="B158" s="394" t="s">
        <v>400</v>
      </c>
      <c r="C158" s="388" t="s">
        <v>379</v>
      </c>
      <c r="D158" s="388" t="s">
        <v>546</v>
      </c>
      <c r="E158" s="394"/>
    </row>
    <row r="159" spans="1:5" s="395" customFormat="1" ht="25.5">
      <c r="A159" s="388" t="str">
        <f t="shared" si="2"/>
        <v>Contribution pour la protection de l'eau art. 62a LEaux</v>
      </c>
      <c r="B159" s="394" t="s">
        <v>205</v>
      </c>
      <c r="C159" s="388" t="s">
        <v>204</v>
      </c>
      <c r="D159" s="388" t="s">
        <v>474</v>
      </c>
      <c r="E159" s="394"/>
    </row>
    <row r="160" spans="1:5" s="395" customFormat="1">
      <c r="A160" s="388" t="str">
        <f t="shared" si="2"/>
        <v>Contribution d’estivage</v>
      </c>
      <c r="B160" s="394" t="s">
        <v>228</v>
      </c>
      <c r="C160" s="388" t="s">
        <v>229</v>
      </c>
      <c r="D160" s="388" t="s">
        <v>475</v>
      </c>
      <c r="E160" s="394"/>
    </row>
    <row r="161" spans="1:5" s="395" customFormat="1">
      <c r="A161" s="388" t="str">
        <f t="shared" si="2"/>
        <v>Contribution pour les surfaces viticoles en pente</v>
      </c>
      <c r="B161" s="394" t="s">
        <v>226</v>
      </c>
      <c r="C161" s="388" t="s">
        <v>227</v>
      </c>
      <c r="D161" s="388" t="s">
        <v>476</v>
      </c>
      <c r="E161" s="394"/>
    </row>
    <row r="162" spans="1:5" s="395" customFormat="1">
      <c r="A162" s="388" t="str">
        <f t="shared" si="2"/>
        <v>Contribution pour surfaces en pente*</v>
      </c>
      <c r="B162" s="394" t="s">
        <v>841</v>
      </c>
      <c r="C162" s="388" t="s">
        <v>509</v>
      </c>
      <c r="D162" s="388" t="s">
        <v>842</v>
      </c>
      <c r="E162" s="394"/>
    </row>
    <row r="163" spans="1:5" s="395" customFormat="1" ht="25.5">
      <c r="A163" s="388" t="str">
        <f t="shared" si="2"/>
        <v>(Les prairies permanentes doivent être fauchées au moins une fois par année)</v>
      </c>
      <c r="B163" s="394" t="s">
        <v>317</v>
      </c>
      <c r="C163" s="388" t="s">
        <v>489</v>
      </c>
      <c r="D163" s="388" t="s">
        <v>792</v>
      </c>
      <c r="E163" s="394"/>
    </row>
    <row r="164" spans="1:5" s="395" customFormat="1">
      <c r="A164" s="388" t="str">
        <f t="shared" si="2"/>
        <v>Contributions pour surfaces en forte pente</v>
      </c>
      <c r="B164" s="388" t="s">
        <v>511</v>
      </c>
      <c r="C164" s="388" t="s">
        <v>510</v>
      </c>
      <c r="D164" s="388" t="s">
        <v>547</v>
      </c>
      <c r="E164" s="394"/>
    </row>
    <row r="165" spans="1:5" s="395" customFormat="1" ht="25.5">
      <c r="A165" s="388" t="str">
        <f t="shared" si="2"/>
        <v>Contribution pour l'utilisation durable des ressources art. 77a et 77b LAgr</v>
      </c>
      <c r="B165" s="394" t="s">
        <v>206</v>
      </c>
      <c r="C165" s="388" t="s">
        <v>939</v>
      </c>
      <c r="D165" s="388" t="s">
        <v>940</v>
      </c>
      <c r="E165" s="394"/>
    </row>
    <row r="166" spans="1:5" s="395" customFormat="1">
      <c r="A166" s="388" t="str">
        <f t="shared" si="2"/>
        <v>Contributions au bien-être des animaux</v>
      </c>
      <c r="B166" s="394" t="s">
        <v>245</v>
      </c>
      <c r="C166" s="388" t="s">
        <v>244</v>
      </c>
      <c r="D166" s="388" t="s">
        <v>477</v>
      </c>
      <c r="E166" s="394"/>
    </row>
    <row r="167" spans="1:5" s="395" customFormat="1">
      <c r="A167" s="388" t="str">
        <f t="shared" si="2"/>
        <v>Sorties régulières en plein air (SRPA)</v>
      </c>
      <c r="B167" s="388" t="s">
        <v>1383</v>
      </c>
      <c r="C167" s="388" t="s">
        <v>1384</v>
      </c>
      <c r="D167" s="388" t="s">
        <v>1385</v>
      </c>
      <c r="E167" s="394"/>
    </row>
    <row r="168" spans="1:5" s="395" customFormat="1" ht="25.5">
      <c r="A168" s="388" t="str">
        <f t="shared" si="2"/>
        <v>Systèmes de stabulation particulièrement respectueux des animaux (SST)</v>
      </c>
      <c r="B168" s="394" t="s">
        <v>246</v>
      </c>
      <c r="C168" s="388" t="s">
        <v>269</v>
      </c>
      <c r="D168" s="388" t="s">
        <v>478</v>
      </c>
      <c r="E168" s="394"/>
    </row>
    <row r="169" spans="1:5" s="395" customFormat="1" ht="25.5">
      <c r="A169" s="388" t="str">
        <f t="shared" si="2"/>
        <v>cultures des champs respectueuses de la faune sauvage</v>
      </c>
      <c r="B169" s="394" t="s">
        <v>1012</v>
      </c>
      <c r="C169" s="388" t="s">
        <v>61</v>
      </c>
      <c r="D169" s="388" t="s">
        <v>479</v>
      </c>
      <c r="E169" s="394"/>
    </row>
    <row r="170" spans="1:5" s="395" customFormat="1">
      <c r="A170" s="388" t="str">
        <f t="shared" si="2"/>
        <v>cultures spéciales</v>
      </c>
      <c r="B170" s="394" t="s">
        <v>187</v>
      </c>
      <c r="C170" s="388" t="s">
        <v>142</v>
      </c>
      <c r="D170" s="388" t="s">
        <v>480</v>
      </c>
      <c r="E170" s="394"/>
    </row>
    <row r="171" spans="1:5" s="395" customFormat="1" ht="25.5">
      <c r="A171" s="388" t="str">
        <f t="shared" si="2"/>
        <v>Cultures spéciales sans les surf. viticoles en forte pente et en terasses</v>
      </c>
      <c r="B171" s="394" t="s">
        <v>1013</v>
      </c>
      <c r="C171" s="388" t="s">
        <v>41</v>
      </c>
      <c r="D171" s="388" t="s">
        <v>677</v>
      </c>
      <c r="E171" s="394"/>
    </row>
    <row r="172" spans="1:5" s="395" customFormat="1" ht="25.5">
      <c r="A172" s="388" t="str">
        <f t="shared" si="2"/>
        <v>Déduction pour la part de fortune entre 800'000 et 1'000'000 :</v>
      </c>
      <c r="B172" s="394" t="s">
        <v>953</v>
      </c>
      <c r="C172" s="388" t="s">
        <v>750</v>
      </c>
      <c r="D172" s="388" t="s">
        <v>743</v>
      </c>
      <c r="E172" s="394"/>
    </row>
    <row r="173" spans="1:5" s="395" customFormat="1">
      <c r="A173" s="388" t="str">
        <f t="shared" si="2"/>
        <v>Déduction pour la part de revenu &gt; 124'444 :</v>
      </c>
      <c r="B173" s="394" t="s">
        <v>952</v>
      </c>
      <c r="C173" s="388" t="s">
        <v>126</v>
      </c>
      <c r="D173" s="388" t="s">
        <v>678</v>
      </c>
      <c r="E173" s="394"/>
    </row>
    <row r="174" spans="1:5" s="395" customFormat="1" ht="25.5">
      <c r="A174" s="388" t="str">
        <f t="shared" si="2"/>
        <v>Déduction pour la part de revenu supérieure à 80'000 :</v>
      </c>
      <c r="B174" s="394" t="s">
        <v>401</v>
      </c>
      <c r="C174" s="388" t="s">
        <v>452</v>
      </c>
      <c r="D174" s="388" t="s">
        <v>548</v>
      </c>
      <c r="E174" s="394"/>
    </row>
    <row r="175" spans="1:5" s="395" customFormat="1">
      <c r="A175" s="388" t="str">
        <f t="shared" si="2"/>
        <v>Déductions pour la fortune :</v>
      </c>
      <c r="B175" s="394" t="s">
        <v>1014</v>
      </c>
      <c r="C175" s="388" t="s">
        <v>52</v>
      </c>
      <c r="D175" s="388" t="s">
        <v>679</v>
      </c>
      <c r="E175" s="394"/>
    </row>
    <row r="176" spans="1:5" s="395" customFormat="1">
      <c r="A176" s="388" t="str">
        <f t="shared" si="2"/>
        <v>Déductions pour le revenu :</v>
      </c>
      <c r="B176" s="394" t="s">
        <v>1015</v>
      </c>
      <c r="C176" s="388" t="s">
        <v>47</v>
      </c>
      <c r="D176" s="388" t="s">
        <v>680</v>
      </c>
      <c r="E176" s="394"/>
    </row>
    <row r="177" spans="1:5" s="395" customFormat="1" ht="38.25">
      <c r="A177" s="388" t="str">
        <f t="shared" si="2"/>
        <v>(2014: 0.4724; 2015: 0.2796; 2016: 0.2619; 2017: 0.2116; 2018: 0.1918; 2019: 0.1795; 2020: 01403; 2021: 0.1109; estimation du DEFR: 2022: 0,10)</v>
      </c>
      <c r="B177" s="388" t="s">
        <v>1306</v>
      </c>
      <c r="C177" s="388" t="s">
        <v>1307</v>
      </c>
      <c r="D177" s="388" t="s">
        <v>1308</v>
      </c>
      <c r="E177" s="394"/>
    </row>
    <row r="178" spans="1:5" s="395" customFormat="1">
      <c r="A178" s="388" t="str">
        <f t="shared" si="2"/>
        <v>Exploitation:</v>
      </c>
      <c r="B178" s="394" t="s">
        <v>111</v>
      </c>
      <c r="C178" s="388" t="s">
        <v>151</v>
      </c>
      <c r="D178" s="388" t="s">
        <v>681</v>
      </c>
      <c r="E178" s="394"/>
    </row>
    <row r="179" spans="1:5" s="395" customFormat="1">
      <c r="A179" s="388" t="str">
        <f t="shared" si="2"/>
        <v>Fortune imposable</v>
      </c>
      <c r="B179" s="394" t="s">
        <v>1016</v>
      </c>
      <c r="C179" s="388" t="s">
        <v>53</v>
      </c>
      <c r="D179" s="388" t="s">
        <v>682</v>
      </c>
      <c r="E179" s="394"/>
    </row>
    <row r="180" spans="1:5" s="395" customFormat="1">
      <c r="A180" s="388" t="str">
        <f t="shared" si="2"/>
        <v>ha resp. UGB</v>
      </c>
      <c r="B180" s="394" t="s">
        <v>182</v>
      </c>
      <c r="C180" s="388" t="s">
        <v>38</v>
      </c>
      <c r="D180" s="388" t="s">
        <v>683</v>
      </c>
      <c r="E180" s="394"/>
    </row>
    <row r="181" spans="1:5" s="395" customFormat="1" ht="25.5">
      <c r="A181" s="388" t="str">
        <f t="shared" si="2"/>
        <v>haies, bosquets et berges boisées (avec la bande herbeuse) (852)</v>
      </c>
      <c r="B181" s="388" t="s">
        <v>1075</v>
      </c>
      <c r="C181" s="388" t="s">
        <v>1116</v>
      </c>
      <c r="D181" s="388" t="s">
        <v>1117</v>
      </c>
      <c r="E181" s="394"/>
    </row>
    <row r="182" spans="1:5" s="395" customFormat="1" ht="25.5">
      <c r="A182" s="388" t="str">
        <f t="shared" si="2"/>
        <v>herbages et surfaces à litière riches en espèces de la région d'estivage</v>
      </c>
      <c r="B182" s="388" t="s">
        <v>396</v>
      </c>
      <c r="C182" s="388" t="s">
        <v>783</v>
      </c>
      <c r="D182" s="388" t="s">
        <v>549</v>
      </c>
      <c r="E182" s="394"/>
    </row>
    <row r="183" spans="1:5" s="395" customFormat="1">
      <c r="A183" s="388" t="str">
        <f t="shared" si="2"/>
        <v>jachère florale (556)</v>
      </c>
      <c r="B183" s="388" t="s">
        <v>1076</v>
      </c>
      <c r="C183" s="388" t="s">
        <v>1118</v>
      </c>
      <c r="D183" s="388" t="s">
        <v>1119</v>
      </c>
      <c r="E183" s="394"/>
    </row>
    <row r="184" spans="1:5" s="395" customFormat="1">
      <c r="A184" s="388" t="str">
        <f t="shared" si="2"/>
        <v>ZP et ZC</v>
      </c>
      <c r="B184" s="394" t="s">
        <v>14</v>
      </c>
      <c r="C184" s="394" t="s">
        <v>122</v>
      </c>
      <c r="D184" s="394" t="s">
        <v>742</v>
      </c>
      <c r="E184" s="394"/>
    </row>
    <row r="185" spans="1:5" s="395" customFormat="1">
      <c r="A185" s="388" t="str">
        <f t="shared" ref="A185:A237" si="5">IF($A$2=1,B185,IF($A$2=2,C185,IF($A$2=3,D185,"")))</f>
        <v>jachère tournante (557)</v>
      </c>
      <c r="B185" s="388" t="s">
        <v>1077</v>
      </c>
      <c r="C185" s="388" t="s">
        <v>1120</v>
      </c>
      <c r="D185" s="388" t="s">
        <v>1121</v>
      </c>
      <c r="E185" s="394"/>
    </row>
    <row r="186" spans="1:5" s="395" customFormat="1" ht="51">
      <c r="A186" s="388" t="str">
        <f t="shared" si="5"/>
        <v>Le montant des contributions est calculé en fonction de la charge usuelle, pour autant que la charge annuelle effective se situe entre 75% et 110% de la charge usuelle</v>
      </c>
      <c r="B186" s="388" t="s">
        <v>846</v>
      </c>
      <c r="C186" s="388" t="s">
        <v>461</v>
      </c>
      <c r="D186" s="388" t="s">
        <v>550</v>
      </c>
      <c r="E186" s="394"/>
    </row>
    <row r="187" spans="1:5" s="395" customFormat="1" ht="25.5">
      <c r="A187" s="388" t="str">
        <f t="shared" si="5"/>
        <v>Modes de production portant sur une partie de l'exploitation</v>
      </c>
      <c r="B187" s="388" t="s">
        <v>909</v>
      </c>
      <c r="C187" s="388" t="s">
        <v>910</v>
      </c>
      <c r="D187" s="388" t="s">
        <v>684</v>
      </c>
      <c r="E187" s="394"/>
    </row>
    <row r="188" spans="1:5" s="395" customFormat="1">
      <c r="A188" s="388" t="str">
        <f t="shared" si="5"/>
        <v>Contribution (Fr.)</v>
      </c>
      <c r="B188" s="394" t="s">
        <v>366</v>
      </c>
      <c r="C188" s="388" t="s">
        <v>367</v>
      </c>
      <c r="D188" s="388" t="s">
        <v>551</v>
      </c>
      <c r="E188" s="394"/>
    </row>
    <row r="189" spans="1:5" s="395" customFormat="1">
      <c r="A189" s="388" t="str">
        <f t="shared" si="5"/>
        <v>Contribution totale (Fr.)</v>
      </c>
      <c r="B189" s="388" t="s">
        <v>32</v>
      </c>
      <c r="C189" s="388" t="s">
        <v>513</v>
      </c>
      <c r="D189" s="388" t="s">
        <v>552</v>
      </c>
      <c r="E189" s="394"/>
    </row>
    <row r="190" spans="1:5" s="395" customFormat="1">
      <c r="A190" s="388" t="str">
        <f t="shared" si="5"/>
        <v>Montant (Fr.)</v>
      </c>
      <c r="B190" s="394" t="s">
        <v>102</v>
      </c>
      <c r="C190" s="388" t="s">
        <v>103</v>
      </c>
      <c r="D190" s="388" t="s">
        <v>685</v>
      </c>
      <c r="E190" s="394"/>
    </row>
    <row r="191" spans="1:5" s="395" customFormat="1" ht="25.5">
      <c r="A191" s="388" t="str">
        <f t="shared" si="5"/>
        <v>* Contribution = 200.- x % de la charge en bétail réalisé x surface</v>
      </c>
      <c r="B191" s="394" t="s">
        <v>855</v>
      </c>
      <c r="C191" s="388" t="s">
        <v>498</v>
      </c>
      <c r="D191" s="394" t="s">
        <v>793</v>
      </c>
      <c r="E191" s="394"/>
    </row>
    <row r="192" spans="1:5" s="395" customFormat="1">
      <c r="A192" s="388" t="str">
        <f t="shared" si="5"/>
        <v>Montant Fr./unité</v>
      </c>
      <c r="B192" s="394" t="s">
        <v>1017</v>
      </c>
      <c r="C192" s="388" t="s">
        <v>170</v>
      </c>
      <c r="D192" s="388" t="s">
        <v>686</v>
      </c>
      <c r="E192" s="394"/>
    </row>
    <row r="193" spans="1:5" s="395" customFormat="1">
      <c r="A193" s="388" t="str">
        <f t="shared" si="5"/>
        <v>Montant Fr./PN</v>
      </c>
      <c r="B193" s="388" t="s">
        <v>450</v>
      </c>
      <c r="C193" s="388" t="s">
        <v>376</v>
      </c>
      <c r="D193" s="388" t="s">
        <v>553</v>
      </c>
      <c r="E193" s="394"/>
    </row>
    <row r="194" spans="1:5" s="395" customFormat="1" ht="25.5">
      <c r="A194" s="388" t="str">
        <f t="shared" si="5"/>
        <v>moutons et chèvres &gt;1 an, agneaux de pâturage, lapins</v>
      </c>
      <c r="B194" s="394" t="s">
        <v>1018</v>
      </c>
      <c r="C194" s="388" t="s">
        <v>34</v>
      </c>
      <c r="D194" s="388" t="s">
        <v>984</v>
      </c>
      <c r="E194" s="394"/>
    </row>
    <row r="195" spans="1:5" s="395" customFormat="1" ht="25.5">
      <c r="A195" s="388" t="str">
        <f t="shared" si="5"/>
        <v>autres animaux consommant du fourrage grossier (sans bisons ni cerfs)</v>
      </c>
      <c r="B195" s="388" t="s">
        <v>451</v>
      </c>
      <c r="C195" s="388" t="s">
        <v>350</v>
      </c>
      <c r="D195" s="388" t="s">
        <v>554</v>
      </c>
      <c r="E195" s="394"/>
    </row>
    <row r="196" spans="1:5" s="395" customFormat="1" ht="38.25">
      <c r="A196" s="388" t="str">
        <f t="shared" si="5"/>
        <v>Contribution supplémentaire pour les vaches laitières, les brebis laitières et les chèvres laitières (en complément des contributions ci-dessus)</v>
      </c>
      <c r="B196" s="388" t="s">
        <v>1291</v>
      </c>
      <c r="C196" s="388" t="s">
        <v>1296</v>
      </c>
      <c r="D196" s="536" t="s">
        <v>794</v>
      </c>
      <c r="E196" s="394"/>
    </row>
    <row r="197" spans="1:5" s="395" customFormat="1" ht="25.5">
      <c r="A197" s="388" t="str">
        <f t="shared" si="5"/>
        <v xml:space="preserve">  une durée d’estivage de 56 - 100 jours (charge usuelle exprimée en UGB)</v>
      </c>
      <c r="B197" s="388" t="s">
        <v>84</v>
      </c>
      <c r="C197" s="388" t="s">
        <v>85</v>
      </c>
      <c r="D197" s="388" t="s">
        <v>795</v>
      </c>
      <c r="E197" s="394"/>
    </row>
    <row r="198" spans="1:5" s="395" customFormat="1">
      <c r="A198" s="388" t="str">
        <f t="shared" si="5"/>
        <v>moutons, brebis laitières exceptées:</v>
      </c>
      <c r="B198" s="394" t="s">
        <v>199</v>
      </c>
      <c r="C198" s="388" t="s">
        <v>198</v>
      </c>
      <c r="D198" s="388" t="s">
        <v>687</v>
      </c>
      <c r="E198" s="394"/>
    </row>
    <row r="199" spans="1:5" s="395" customFormat="1" ht="25.5">
      <c r="A199" s="388" t="str">
        <f t="shared" si="5"/>
        <v>Contributions à la surface année de référence*</v>
      </c>
      <c r="B199" s="388" t="s">
        <v>402</v>
      </c>
      <c r="C199" s="388" t="s">
        <v>380</v>
      </c>
      <c r="D199" s="388" t="s">
        <v>555</v>
      </c>
      <c r="E199" s="394"/>
    </row>
    <row r="200" spans="1:5" s="395" customFormat="1" ht="25.5">
      <c r="A200" s="388" t="str">
        <f t="shared" si="5"/>
        <v>Contributions pour des terrains en pente année de référence*</v>
      </c>
      <c r="B200" s="388" t="s">
        <v>403</v>
      </c>
      <c r="C200" s="388" t="s">
        <v>381</v>
      </c>
      <c r="D200" s="388" t="s">
        <v>556</v>
      </c>
      <c r="E200" s="394"/>
    </row>
    <row r="201" spans="1:5" s="395" customFormat="1" ht="38.25">
      <c r="A201" s="388" t="str">
        <f t="shared" si="5"/>
        <v>Contributions pour la garde d’animaux consommant des fourrages grossiers année de référence*</v>
      </c>
      <c r="B201" s="388" t="s">
        <v>404</v>
      </c>
      <c r="C201" s="388" t="s">
        <v>382</v>
      </c>
      <c r="D201" s="388" t="s">
        <v>557</v>
      </c>
      <c r="E201" s="394"/>
    </row>
    <row r="202" spans="1:5" s="395" customFormat="1" ht="38.25">
      <c r="A202" s="388" t="str">
        <f t="shared" si="5"/>
        <v>Contributions pour la garde d’animaux dans des conditions difficiles année de référence*</v>
      </c>
      <c r="B202" s="388" t="s">
        <v>405</v>
      </c>
      <c r="C202" s="388" t="s">
        <v>383</v>
      </c>
      <c r="D202" s="388" t="s">
        <v>558</v>
      </c>
      <c r="E202" s="394"/>
    </row>
    <row r="203" spans="1:5" s="395" customFormat="1">
      <c r="A203" s="388" t="str">
        <f t="shared" si="5"/>
        <v>nombre</v>
      </c>
      <c r="B203" s="394" t="s">
        <v>119</v>
      </c>
      <c r="C203" s="388" t="s">
        <v>174</v>
      </c>
      <c r="D203" s="388" t="s">
        <v>688</v>
      </c>
      <c r="E203" s="394"/>
    </row>
    <row r="204" spans="1:5" s="395" customFormat="1">
      <c r="A204" s="388" t="str">
        <f t="shared" si="5"/>
        <v>non</v>
      </c>
      <c r="B204" s="388" t="s">
        <v>225</v>
      </c>
      <c r="C204" s="388" t="s">
        <v>224</v>
      </c>
      <c r="D204" s="388" t="s">
        <v>689</v>
      </c>
      <c r="E204" s="394"/>
    </row>
    <row r="205" spans="1:5" s="395" customFormat="1">
      <c r="A205" s="388" t="str">
        <f t="shared" si="5"/>
        <v>oui</v>
      </c>
      <c r="B205" s="388" t="s">
        <v>223</v>
      </c>
      <c r="C205" s="388" t="s">
        <v>222</v>
      </c>
      <c r="D205" s="388" t="s">
        <v>690</v>
      </c>
      <c r="E205" s="394"/>
    </row>
    <row r="206" spans="1:5" s="395" customFormat="1">
      <c r="A206" s="388" t="str">
        <f t="shared" si="5"/>
        <v>ourlet sur terres assolées (559)</v>
      </c>
      <c r="B206" s="388" t="s">
        <v>1083</v>
      </c>
      <c r="C206" s="388" t="s">
        <v>1172</v>
      </c>
      <c r="D206" s="388" t="s">
        <v>1173</v>
      </c>
      <c r="E206" s="394"/>
    </row>
    <row r="207" spans="1:5" s="395" customFormat="1">
      <c r="A207" s="388" t="str">
        <f t="shared" si="5"/>
        <v>Paiements directs 1</v>
      </c>
      <c r="B207" s="394" t="s">
        <v>188</v>
      </c>
      <c r="C207" s="388" t="s">
        <v>135</v>
      </c>
      <c r="D207" s="388" t="s">
        <v>691</v>
      </c>
      <c r="E207" s="394"/>
    </row>
    <row r="208" spans="1:5" s="395" customFormat="1">
      <c r="A208" s="388" t="str">
        <f t="shared" si="5"/>
        <v>Paiements directs 2</v>
      </c>
      <c r="B208" s="394" t="s">
        <v>189</v>
      </c>
      <c r="C208" s="388" t="s">
        <v>150</v>
      </c>
      <c r="D208" s="388" t="s">
        <v>692</v>
      </c>
      <c r="E208" s="394"/>
    </row>
    <row r="209" spans="1:5" s="395" customFormat="1">
      <c r="A209" s="388" t="str">
        <f t="shared" si="5"/>
        <v>Paiements directs 3</v>
      </c>
      <c r="B209" s="394" t="s">
        <v>1019</v>
      </c>
      <c r="C209" s="388" t="s">
        <v>163</v>
      </c>
      <c r="D209" s="388" t="s">
        <v>693</v>
      </c>
      <c r="E209" s="394"/>
    </row>
    <row r="210" spans="1:5" s="395" customFormat="1">
      <c r="A210" s="388" t="str">
        <f t="shared" si="5"/>
        <v>Paiements directs 4</v>
      </c>
      <c r="B210" s="394" t="s">
        <v>1020</v>
      </c>
      <c r="C210" s="388" t="s">
        <v>166</v>
      </c>
      <c r="D210" s="388" t="s">
        <v>694</v>
      </c>
      <c r="E210" s="394"/>
    </row>
    <row r="211" spans="1:5" s="395" customFormat="1">
      <c r="A211" s="388" t="str">
        <f t="shared" si="5"/>
        <v>Paiements directs 5</v>
      </c>
      <c r="B211" s="394" t="s">
        <v>1021</v>
      </c>
      <c r="C211" s="388" t="s">
        <v>133</v>
      </c>
      <c r="D211" s="388" t="s">
        <v>695</v>
      </c>
      <c r="E211" s="394"/>
    </row>
    <row r="212" spans="1:5" s="395" customFormat="1">
      <c r="A212" s="388" t="str">
        <f t="shared" si="5"/>
        <v>Paiements directs 6</v>
      </c>
      <c r="B212" s="394" t="s">
        <v>1022</v>
      </c>
      <c r="C212" s="388" t="s">
        <v>134</v>
      </c>
      <c r="D212" s="388" t="s">
        <v>696</v>
      </c>
      <c r="E212" s="394"/>
    </row>
    <row r="213" spans="1:5" s="395" customFormat="1">
      <c r="A213" s="388" t="str">
        <f t="shared" si="5"/>
        <v>Paiements directs 7</v>
      </c>
      <c r="B213" s="394" t="s">
        <v>1023</v>
      </c>
      <c r="C213" s="388" t="s">
        <v>67</v>
      </c>
      <c r="D213" s="388" t="s">
        <v>697</v>
      </c>
      <c r="E213" s="394"/>
    </row>
    <row r="214" spans="1:5" s="395" customFormat="1">
      <c r="A214" s="388" t="str">
        <f>IF($A$2=1,B214,IF($A$2=2,C214,IF($A$2=3,D214,"")))</f>
        <v>Paiements directs 8</v>
      </c>
      <c r="B214" s="394" t="s">
        <v>196</v>
      </c>
      <c r="C214" s="388" t="s">
        <v>68</v>
      </c>
      <c r="D214" s="388" t="s">
        <v>698</v>
      </c>
      <c r="E214" s="394"/>
    </row>
    <row r="215" spans="1:5" s="395" customFormat="1">
      <c r="A215" s="388" t="str">
        <f t="shared" si="5"/>
        <v>Agriculture biologique</v>
      </c>
      <c r="B215" s="394" t="s">
        <v>238</v>
      </c>
      <c r="C215" s="388" t="s">
        <v>239</v>
      </c>
      <c r="D215" s="388" t="s">
        <v>699</v>
      </c>
      <c r="E215" s="394"/>
    </row>
    <row r="216" spans="1:5" s="395" customFormat="1">
      <c r="A216" s="388" t="str">
        <f t="shared" si="5"/>
        <v>par arbre (QI)</v>
      </c>
      <c r="B216" s="394" t="s">
        <v>1213</v>
      </c>
      <c r="C216" s="388" t="s">
        <v>1214</v>
      </c>
      <c r="D216" s="388" t="s">
        <v>1215</v>
      </c>
      <c r="E216" s="394"/>
    </row>
    <row r="217" spans="1:5" s="395" customFormat="1">
      <c r="A217" s="388" t="str">
        <f t="shared" si="5"/>
        <v>par ha SAU</v>
      </c>
      <c r="B217" s="394" t="s">
        <v>208</v>
      </c>
      <c r="C217" s="388" t="s">
        <v>207</v>
      </c>
      <c r="D217" s="388" t="s">
        <v>700</v>
      </c>
      <c r="E217" s="394"/>
    </row>
    <row r="218" spans="1:5" s="395" customFormat="1">
      <c r="A218" s="388" t="str">
        <f t="shared" si="5"/>
        <v>par pâquier normal</v>
      </c>
      <c r="B218" s="394" t="s">
        <v>210</v>
      </c>
      <c r="C218" s="388" t="s">
        <v>209</v>
      </c>
      <c r="D218" s="388" t="s">
        <v>701</v>
      </c>
      <c r="E218" s="394"/>
    </row>
    <row r="219" spans="1:5" s="395" customFormat="1">
      <c r="A219" s="388" t="str">
        <f t="shared" si="5"/>
        <v>Part (Fr.)</v>
      </c>
      <c r="B219" s="394" t="s">
        <v>181</v>
      </c>
      <c r="C219" s="388" t="s">
        <v>160</v>
      </c>
      <c r="D219" s="388" t="s">
        <v>702</v>
      </c>
      <c r="E219" s="394"/>
    </row>
    <row r="220" spans="1:5" s="395" customFormat="1">
      <c r="A220" s="388" t="str">
        <f t="shared" si="5"/>
        <v>pâturages extensifs et pâturages boisés (617,618)</v>
      </c>
      <c r="B220" s="388" t="s">
        <v>1072</v>
      </c>
      <c r="C220" s="388" t="s">
        <v>1122</v>
      </c>
      <c r="D220" s="388" t="s">
        <v>1123</v>
      </c>
      <c r="E220" s="394"/>
    </row>
    <row r="221" spans="1:5" s="395" customFormat="1">
      <c r="A221" s="388" t="str">
        <f t="shared" si="5"/>
        <v>paysage cultivé</v>
      </c>
      <c r="B221" s="394" t="s">
        <v>1010</v>
      </c>
      <c r="C221" s="388" t="s">
        <v>1009</v>
      </c>
      <c r="D221" s="388" t="s">
        <v>703</v>
      </c>
      <c r="E221" s="394"/>
    </row>
    <row r="222" spans="1:5" s="395" customFormat="1">
      <c r="A222" s="388" t="str">
        <f>IF($A$2=1,B222,IF($A$2=2,C222,IF($A$2=3,D222,"")))</f>
        <v>PN***</v>
      </c>
      <c r="B222" s="388" t="s">
        <v>353</v>
      </c>
      <c r="C222" s="388" t="s">
        <v>354</v>
      </c>
      <c r="D222" s="388" t="s">
        <v>355</v>
      </c>
      <c r="E222" s="394"/>
    </row>
    <row r="223" spans="1:5" s="395" customFormat="1">
      <c r="A223" s="388" t="str">
        <f>IF($A$2=1,B223,IF($A$2=2,C223,IF($A$2=3,D223,"")))</f>
        <v>UGBFG</v>
      </c>
      <c r="B223" s="388" t="s">
        <v>234</v>
      </c>
      <c r="C223" s="388" t="s">
        <v>153</v>
      </c>
      <c r="D223" s="388" t="s">
        <v>153</v>
      </c>
      <c r="E223" s="394"/>
    </row>
    <row r="224" spans="1:5" s="395" customFormat="1">
      <c r="A224" s="388" t="str">
        <f>IF($A$2=1,B224,IF($A$2=2,C224,IF($A$2=3,D224,"")))</f>
        <v>Porcs</v>
      </c>
      <c r="B224" s="394" t="s">
        <v>115</v>
      </c>
      <c r="C224" s="388" t="s">
        <v>161</v>
      </c>
      <c r="D224" s="388" t="s">
        <v>704</v>
      </c>
      <c r="E224" s="394"/>
    </row>
    <row r="225" spans="1:5" s="395" customFormat="1">
      <c r="A225" s="388" t="str">
        <f t="shared" si="5"/>
        <v>Autres porcins sans porcelets allaités</v>
      </c>
      <c r="B225" s="388" t="s">
        <v>406</v>
      </c>
      <c r="C225" s="388" t="s">
        <v>378</v>
      </c>
      <c r="D225" s="388" t="s">
        <v>559</v>
      </c>
      <c r="E225" s="394"/>
    </row>
    <row r="226" spans="1:5" s="395" customFormat="1" ht="25.5">
      <c r="A226" s="388" t="str">
        <f t="shared" si="5"/>
        <v>Porcs à l'engrais, porcs de renouvellement de plus de 25 kg et porcelets sevrés</v>
      </c>
      <c r="B226" s="394" t="s">
        <v>185</v>
      </c>
      <c r="C226" s="388" t="s">
        <v>44</v>
      </c>
      <c r="D226" s="388" t="s">
        <v>705</v>
      </c>
      <c r="E226" s="394"/>
    </row>
    <row r="227" spans="1:5" s="395" customFormat="1">
      <c r="A227" s="388" t="str">
        <f t="shared" si="5"/>
        <v>Porcs d'élevage</v>
      </c>
      <c r="B227" s="394" t="s">
        <v>186</v>
      </c>
      <c r="C227" s="388" t="s">
        <v>45</v>
      </c>
      <c r="D227" s="388" t="s">
        <v>706</v>
      </c>
      <c r="E227" s="394"/>
    </row>
    <row r="228" spans="1:5" s="395" customFormat="1" ht="25.5">
      <c r="A228" s="388" t="str">
        <f t="shared" si="5"/>
        <v>Porcs sans porcelets allaités, ni verrats d’élevage de plus de 6 mois</v>
      </c>
      <c r="B228" s="388" t="s">
        <v>1285</v>
      </c>
      <c r="C228" s="388" t="s">
        <v>1256</v>
      </c>
      <c r="D228" s="388" t="s">
        <v>1286</v>
      </c>
      <c r="E228" s="394"/>
    </row>
    <row r="229" spans="1:5" s="395" customFormat="1" ht="25.5">
      <c r="A229" s="388" t="str">
        <f t="shared" si="5"/>
        <v>Porcs d'élevage et d'engraissement, sauf porcs allaités</v>
      </c>
      <c r="B229" s="394" t="s">
        <v>1024</v>
      </c>
      <c r="C229" s="388" t="s">
        <v>19</v>
      </c>
      <c r="D229" s="388" t="s">
        <v>707</v>
      </c>
      <c r="E229" s="394"/>
    </row>
    <row r="230" spans="1:5" s="395" customFormat="1">
      <c r="A230" s="388" t="str">
        <f t="shared" si="5"/>
        <v>Volaille**</v>
      </c>
      <c r="B230" s="388" t="s">
        <v>334</v>
      </c>
      <c r="C230" s="388" t="s">
        <v>335</v>
      </c>
      <c r="D230" s="388" t="s">
        <v>336</v>
      </c>
      <c r="E230" s="394"/>
    </row>
    <row r="231" spans="1:5" s="395" customFormat="1" ht="38.25">
      <c r="A231" s="388" t="str">
        <f t="shared" si="5"/>
        <v>**Poules pondeuses, poulettes, coqs d'élevage, jeunes coqs, poussins, poulets et dindes</v>
      </c>
      <c r="B231" s="388" t="s">
        <v>337</v>
      </c>
      <c r="C231" s="388" t="s">
        <v>338</v>
      </c>
      <c r="D231" s="388" t="s">
        <v>339</v>
      </c>
      <c r="E231" s="394"/>
    </row>
    <row r="232" spans="1:5" s="395" customFormat="1">
      <c r="A232" s="388" t="str">
        <f t="shared" si="5"/>
        <v>Lapins</v>
      </c>
      <c r="B232" s="388" t="s">
        <v>442</v>
      </c>
      <c r="C232" s="388" t="s">
        <v>377</v>
      </c>
      <c r="D232" s="388" t="s">
        <v>560</v>
      </c>
      <c r="E232" s="394"/>
    </row>
    <row r="233" spans="1:5" s="395" customFormat="1" ht="25.5">
      <c r="A233" s="388" t="str">
        <f t="shared" si="5"/>
        <v>Pour rappel: critères d’entrée en matière et surface donnant droit aux contributions</v>
      </c>
      <c r="B233" s="394" t="s">
        <v>627</v>
      </c>
      <c r="C233" s="388" t="s">
        <v>626</v>
      </c>
      <c r="D233" s="388" t="s">
        <v>796</v>
      </c>
      <c r="E233" s="394"/>
    </row>
    <row r="234" spans="1:5" s="395" customFormat="1" ht="25.5">
      <c r="A234" s="388" t="str">
        <f t="shared" si="5"/>
        <v>prairies extensives et surfaces à litière (611,622,851)</v>
      </c>
      <c r="B234" s="388" t="s">
        <v>1084</v>
      </c>
      <c r="C234" s="388" t="s">
        <v>1124</v>
      </c>
      <c r="D234" s="388" t="s">
        <v>1125</v>
      </c>
      <c r="E234" s="394"/>
    </row>
    <row r="235" spans="1:5" s="395" customFormat="1">
      <c r="A235" s="388" t="str">
        <f t="shared" si="5"/>
        <v>prairies peu intensives (612,623)</v>
      </c>
      <c r="B235" s="388" t="s">
        <v>1097</v>
      </c>
      <c r="C235" s="388" t="s">
        <v>1126</v>
      </c>
      <c r="D235" s="388" t="s">
        <v>1127</v>
      </c>
      <c r="E235" s="394"/>
    </row>
    <row r="236" spans="1:5" s="395" customFormat="1" ht="25.5">
      <c r="A236" s="388" t="str">
        <f t="shared" si="5"/>
        <v>Récapitulation des paiements directs et contributions</v>
      </c>
      <c r="B236" s="394" t="s">
        <v>362</v>
      </c>
      <c r="C236" s="388" t="s">
        <v>514</v>
      </c>
      <c r="D236" s="388" t="s">
        <v>561</v>
      </c>
      <c r="E236" s="394"/>
    </row>
    <row r="237" spans="1:5" s="395" customFormat="1" ht="25.5">
      <c r="A237" s="388" t="str">
        <f t="shared" si="5"/>
        <v>Coefficient d'ajustement (moyens disponibles totaux/ besoins totaux)</v>
      </c>
      <c r="B237" s="388" t="s">
        <v>277</v>
      </c>
      <c r="C237" s="388" t="s">
        <v>276</v>
      </c>
      <c r="D237" s="388" t="s">
        <v>562</v>
      </c>
      <c r="E237" s="394"/>
    </row>
    <row r="238" spans="1:5" s="395" customFormat="1" ht="25.5">
      <c r="A238" s="388" t="str">
        <f t="shared" ref="A238:A286" si="6">IF($A$2=1,B238,IF($A$2=2,C238,IF($A$2=3,D238,"")))</f>
        <v>Réduction pour fortune déterminante de Fr.**</v>
      </c>
      <c r="B238" s="388" t="s">
        <v>1058</v>
      </c>
      <c r="C238" s="388" t="s">
        <v>1053</v>
      </c>
      <c r="D238" s="388" t="s">
        <v>1055</v>
      </c>
      <c r="E238" s="394"/>
    </row>
    <row r="239" spans="1:5" s="395" customFormat="1" ht="25.5">
      <c r="A239" s="388" t="str">
        <f t="shared" si="6"/>
        <v>Réduction pour revenu imposable de Fr.**</v>
      </c>
      <c r="B239" s="388" t="s">
        <v>1057</v>
      </c>
      <c r="C239" s="388" t="s">
        <v>1054</v>
      </c>
      <c r="D239" s="388" t="s">
        <v>1056</v>
      </c>
      <c r="E239" s="394"/>
    </row>
    <row r="240" spans="1:5" s="395" customFormat="1">
      <c r="A240" s="388" t="str">
        <f t="shared" si="6"/>
        <v>report paiements directs 1</v>
      </c>
      <c r="B240" s="394" t="s">
        <v>1025</v>
      </c>
      <c r="C240" s="388" t="s">
        <v>751</v>
      </c>
      <c r="D240" s="388" t="s">
        <v>752</v>
      </c>
      <c r="E240" s="394"/>
    </row>
    <row r="241" spans="1:5" s="395" customFormat="1">
      <c r="A241" s="388" t="str">
        <f t="shared" si="6"/>
        <v>report paiements directs 2</v>
      </c>
      <c r="B241" s="394" t="s">
        <v>1026</v>
      </c>
      <c r="C241" s="388" t="s">
        <v>753</v>
      </c>
      <c r="D241" s="388" t="s">
        <v>754</v>
      </c>
      <c r="E241" s="394"/>
    </row>
    <row r="242" spans="1:5" s="395" customFormat="1">
      <c r="A242" s="388" t="str">
        <f t="shared" si="6"/>
        <v>report paiements directs 3</v>
      </c>
      <c r="B242" s="394" t="s">
        <v>1027</v>
      </c>
      <c r="C242" s="388" t="s">
        <v>755</v>
      </c>
      <c r="D242" s="388" t="s">
        <v>756</v>
      </c>
      <c r="E242" s="394"/>
    </row>
    <row r="243" spans="1:5" s="395" customFormat="1">
      <c r="A243" s="388" t="str">
        <f t="shared" si="6"/>
        <v>report paiements directs 4</v>
      </c>
      <c r="B243" s="394" t="s">
        <v>1028</v>
      </c>
      <c r="C243" s="388" t="s">
        <v>757</v>
      </c>
      <c r="D243" s="388" t="s">
        <v>758</v>
      </c>
      <c r="E243" s="394"/>
    </row>
    <row r="244" spans="1:5" s="395" customFormat="1">
      <c r="A244" s="388" t="str">
        <f t="shared" si="6"/>
        <v>report paiements directs 5</v>
      </c>
      <c r="B244" s="394" t="s">
        <v>1029</v>
      </c>
      <c r="C244" s="388" t="s">
        <v>759</v>
      </c>
      <c r="D244" s="388" t="s">
        <v>760</v>
      </c>
      <c r="E244" s="394"/>
    </row>
    <row r="245" spans="1:5" s="395" customFormat="1">
      <c r="A245" s="388" t="str">
        <f t="shared" si="6"/>
        <v>report paiements directs 6</v>
      </c>
      <c r="B245" s="394" t="s">
        <v>1030</v>
      </c>
      <c r="C245" s="388" t="s">
        <v>761</v>
      </c>
      <c r="D245" s="388" t="s">
        <v>762</v>
      </c>
      <c r="E245" s="394"/>
    </row>
    <row r="246" spans="1:5" s="395" customFormat="1">
      <c r="A246" s="388" t="str">
        <f t="shared" si="6"/>
        <v>report paiements directs 7</v>
      </c>
      <c r="B246" s="394" t="s">
        <v>1031</v>
      </c>
      <c r="C246" s="388" t="s">
        <v>763</v>
      </c>
      <c r="D246" s="388" t="s">
        <v>764</v>
      </c>
      <c r="E246" s="394"/>
    </row>
    <row r="247" spans="1:5" s="395" customFormat="1">
      <c r="A247" s="388" t="str">
        <f t="shared" si="6"/>
        <v>Revenu imposable IFD</v>
      </c>
      <c r="B247" s="394" t="s">
        <v>203</v>
      </c>
      <c r="C247" s="388" t="s">
        <v>48</v>
      </c>
      <c r="D247" s="388" t="s">
        <v>708</v>
      </c>
      <c r="E247" s="394"/>
    </row>
    <row r="248" spans="1:5" s="395" customFormat="1" ht="38.25">
      <c r="A248" s="388" t="str">
        <f t="shared" si="6"/>
        <v>SAU sans les cultures spéciales (+ haies, bosquets et berges boisées, surfaces à litière, zones de berge)</v>
      </c>
      <c r="B248" s="394" t="s">
        <v>407</v>
      </c>
      <c r="C248" s="388" t="s">
        <v>453</v>
      </c>
      <c r="D248" s="388" t="s">
        <v>563</v>
      </c>
      <c r="E248" s="394"/>
    </row>
    <row r="249" spans="1:5">
      <c r="A249" s="393" t="str">
        <f>IF($A$2=1,B249,IF($A$2=2,C249,IF($A$2=3,D249,"")))</f>
        <v>SAU, ha*</v>
      </c>
      <c r="B249" s="394" t="s">
        <v>0</v>
      </c>
      <c r="C249" s="388" t="s">
        <v>59</v>
      </c>
      <c r="D249" s="388" t="s">
        <v>59</v>
      </c>
    </row>
    <row r="250" spans="1:5">
      <c r="A250" s="393" t="str">
        <f t="shared" si="6"/>
        <v>ha</v>
      </c>
      <c r="B250" s="394" t="s">
        <v>92</v>
      </c>
      <c r="C250" s="388" t="s">
        <v>92</v>
      </c>
      <c r="D250" s="388" t="s">
        <v>92</v>
      </c>
    </row>
    <row r="251" spans="1:5" s="395" customFormat="1" ht="38.25">
      <c r="A251" s="388" t="str">
        <f t="shared" si="6"/>
        <v>Si la fortune déterminante dépasse 1'000'000, déduction de 100% de la contribution de transition</v>
      </c>
      <c r="B251" s="394" t="s">
        <v>954</v>
      </c>
      <c r="C251" s="388" t="s">
        <v>955</v>
      </c>
      <c r="D251" s="388" t="s">
        <v>564</v>
      </c>
      <c r="E251" s="394"/>
    </row>
    <row r="252" spans="1:5" s="395" customFormat="1">
      <c r="A252" s="388" t="str">
        <f t="shared" si="6"/>
        <v>Somme contributions</v>
      </c>
      <c r="B252" s="394" t="s">
        <v>17</v>
      </c>
      <c r="C252" s="388" t="s">
        <v>167</v>
      </c>
      <c r="D252" s="388" t="s">
        <v>709</v>
      </c>
      <c r="E252" s="394"/>
    </row>
    <row r="253" spans="1:5" s="395" customFormat="1">
      <c r="A253" s="388" t="str">
        <f t="shared" si="6"/>
        <v>Sous-total</v>
      </c>
      <c r="B253" s="394" t="s">
        <v>176</v>
      </c>
      <c r="C253" s="388" t="s">
        <v>138</v>
      </c>
      <c r="D253" s="388" t="s">
        <v>710</v>
      </c>
      <c r="E253" s="394"/>
    </row>
    <row r="254" spans="1:5" s="395" customFormat="1" ht="25.5">
      <c r="A254" s="388" t="str">
        <f t="shared" si="6"/>
        <v>Sous-total contributions au paysage cultivé exploitation à l'année</v>
      </c>
      <c r="B254" s="388" t="s">
        <v>894</v>
      </c>
      <c r="C254" s="388" t="s">
        <v>893</v>
      </c>
      <c r="D254" s="388" t="s">
        <v>959</v>
      </c>
      <c r="E254" s="394"/>
    </row>
    <row r="255" spans="1:5" s="395" customFormat="1">
      <c r="A255" s="388" t="str">
        <f t="shared" si="6"/>
        <v>Surface* (ha)</v>
      </c>
      <c r="B255" s="394" t="s">
        <v>195</v>
      </c>
      <c r="C255" s="388" t="s">
        <v>64</v>
      </c>
      <c r="D255" s="388" t="s">
        <v>992</v>
      </c>
      <c r="E255" s="394"/>
    </row>
    <row r="256" spans="1:5" s="395" customFormat="1" ht="25.5">
      <c r="A256" s="388" t="str">
        <f t="shared" si="6"/>
        <v>Calcul de la contribution pour les surfaces herbagères donnant droit aux contributions</v>
      </c>
      <c r="B256" s="394" t="s">
        <v>856</v>
      </c>
      <c r="C256" s="388" t="s">
        <v>494</v>
      </c>
      <c r="D256" s="388" t="s">
        <v>797</v>
      </c>
      <c r="E256" s="394"/>
    </row>
    <row r="257" spans="1:5" s="395" customFormat="1" ht="38.25">
      <c r="A257" s="388" t="str">
        <f t="shared" si="6"/>
        <v>Part minimale de prairies, pâturages et fourrages de base dans la ration des animaux consommant des fourrages grossiers</v>
      </c>
      <c r="B257" s="388" t="s">
        <v>26</v>
      </c>
      <c r="C257" s="388" t="s">
        <v>652</v>
      </c>
      <c r="D257" s="388" t="s">
        <v>565</v>
      </c>
      <c r="E257" s="394"/>
    </row>
    <row r="258" spans="1:5" s="395" customFormat="1" ht="63.75">
      <c r="A258" s="388" t="str">
        <f t="shared" si="6"/>
        <v>** La charge minimale en bétail doit être atteinte selon les conditions de la contribution de base à la sécurité de l'approvisionnement; en outre la charge minimale en bétail totale doit aussi être atteinte avec les prairies temporaires</v>
      </c>
      <c r="B258" s="394" t="s">
        <v>873</v>
      </c>
      <c r="C258" s="388" t="s">
        <v>462</v>
      </c>
      <c r="D258" s="388" t="s">
        <v>566</v>
      </c>
      <c r="E258" s="394"/>
    </row>
    <row r="259" spans="1:5" s="395" customFormat="1" ht="114.75">
      <c r="A259" s="388" t="str">
        <f t="shared" si="6"/>
        <v>Surface donnant droit aux contributions: SAU donnant droit aux contributions (+ surfaces situées en zone limitrophe étrangère et exploitées par tradition), sauf matières premières renouvelables (kenaf, roseau de Chine), jachères, ourlets sur terres assolées, mûriers, surfaces à litière, haies, bosquets et berges boisées, bandes fleuries pour les pollinisateurs, chanvre pour l’utilisation des fibres.</v>
      </c>
      <c r="B259" s="388" t="s">
        <v>1303</v>
      </c>
      <c r="C259" s="388" t="s">
        <v>1302</v>
      </c>
      <c r="D259" s="552" t="s">
        <v>1209</v>
      </c>
      <c r="E259" s="394"/>
    </row>
    <row r="260" spans="1:5" s="395" customFormat="1">
      <c r="A260" s="388" t="str">
        <f t="shared" si="6"/>
        <v>Surfaces herbagères</v>
      </c>
      <c r="B260" s="394" t="s">
        <v>233</v>
      </c>
      <c r="C260" s="388" t="s">
        <v>62</v>
      </c>
      <c r="D260" s="388" t="s">
        <v>578</v>
      </c>
      <c r="E260" s="394"/>
    </row>
    <row r="261" spans="1:5" s="395" customFormat="1">
      <c r="A261" s="388" t="str">
        <f t="shared" si="6"/>
        <v>Surfaces viticoles en forte pente et en terrasses</v>
      </c>
      <c r="B261" s="394" t="s">
        <v>1</v>
      </c>
      <c r="C261" s="388" t="s">
        <v>42</v>
      </c>
      <c r="D261" s="388" t="s">
        <v>711</v>
      </c>
      <c r="E261" s="394"/>
    </row>
    <row r="262" spans="1:5" s="395" customFormat="1" ht="25.5">
      <c r="A262" s="388" t="str">
        <f t="shared" si="6"/>
        <v>surfaces viticoles présentant une biodiversité naturelle (717)</v>
      </c>
      <c r="B262" s="388" t="s">
        <v>1074</v>
      </c>
      <c r="C262" s="388" t="s">
        <v>1128</v>
      </c>
      <c r="D262" s="388" t="s">
        <v>1129</v>
      </c>
      <c r="E262" s="394"/>
    </row>
    <row r="263" spans="1:5" s="395" customFormat="1" ht="25.5">
      <c r="A263" s="388" t="str">
        <f t="shared" si="6"/>
        <v>Modes de production conformes au principe de la globalité</v>
      </c>
      <c r="B263" s="388" t="s">
        <v>907</v>
      </c>
      <c r="C263" s="388" t="s">
        <v>908</v>
      </c>
      <c r="D263" s="388" t="s">
        <v>712</v>
      </c>
      <c r="E263" s="394"/>
    </row>
    <row r="264" spans="1:5" s="395" customFormat="1">
      <c r="A264" s="388" t="str">
        <f t="shared" si="6"/>
        <v>Taux (Fr.)</v>
      </c>
      <c r="B264" s="394" t="s">
        <v>175</v>
      </c>
      <c r="C264" s="388" t="s">
        <v>159</v>
      </c>
      <c r="D264" s="388" t="s">
        <v>685</v>
      </c>
      <c r="E264" s="394"/>
    </row>
    <row r="265" spans="1:5" s="395" customFormat="1">
      <c r="A265" s="388" t="str">
        <f t="shared" si="6"/>
        <v>Taux/unité</v>
      </c>
      <c r="B265" s="394" t="s">
        <v>183</v>
      </c>
      <c r="C265" s="388" t="s">
        <v>184</v>
      </c>
      <c r="D265" s="388" t="s">
        <v>579</v>
      </c>
      <c r="E265" s="394"/>
    </row>
    <row r="266" spans="1:5" s="395" customFormat="1">
      <c r="A266" s="388" t="str">
        <f t="shared" si="6"/>
        <v>terrains</v>
      </c>
      <c r="B266" s="394" t="s">
        <v>273</v>
      </c>
      <c r="C266" s="388" t="s">
        <v>145</v>
      </c>
      <c r="D266" s="388" t="s">
        <v>985</v>
      </c>
      <c r="E266" s="394"/>
    </row>
    <row r="267" spans="1:5" s="395" customFormat="1">
      <c r="A267" s="388" t="str">
        <f t="shared" si="6"/>
        <v>Terrains en pente 35 - 50%</v>
      </c>
      <c r="B267" s="388" t="s">
        <v>1228</v>
      </c>
      <c r="C267" s="388" t="s">
        <v>1229</v>
      </c>
      <c r="D267" s="388" t="s">
        <v>1230</v>
      </c>
      <c r="E267" s="394"/>
    </row>
    <row r="268" spans="1:5" s="395" customFormat="1">
      <c r="A268" s="388" t="str">
        <f t="shared" si="6"/>
        <v>Terrains en pente 18 - 35%</v>
      </c>
      <c r="B268" s="388" t="s">
        <v>1226</v>
      </c>
      <c r="C268" s="388" t="s">
        <v>1225</v>
      </c>
      <c r="D268" s="388" t="s">
        <v>1227</v>
      </c>
      <c r="E268" s="394"/>
    </row>
    <row r="269" spans="1:5" s="395" customFormat="1" ht="25.5">
      <c r="A269" s="388" t="str">
        <f>IF($A$2=1,B269,IF($A$2=2,C269,IF($A$2=3,D269,"")))</f>
        <v>Terres ouvertes et cultures pérennes (en Suisse et à l'étranger)</v>
      </c>
      <c r="B269" s="388" t="s">
        <v>30</v>
      </c>
      <c r="C269" s="388" t="s">
        <v>653</v>
      </c>
      <c r="D269" s="388" t="s">
        <v>580</v>
      </c>
      <c r="E269" s="394"/>
    </row>
    <row r="270" spans="1:5" s="395" customFormat="1">
      <c r="A270" s="388" t="str">
        <f t="shared" si="6"/>
        <v>Terres ouvertes et cultures pérennes</v>
      </c>
      <c r="B270" s="388" t="s">
        <v>89</v>
      </c>
      <c r="C270" s="388" t="s">
        <v>90</v>
      </c>
      <c r="D270" s="388" t="s">
        <v>91</v>
      </c>
      <c r="E270" s="394"/>
    </row>
    <row r="271" spans="1:5" s="395" customFormat="1">
      <c r="A271" s="388" t="str">
        <f t="shared" si="6"/>
        <v>Total</v>
      </c>
      <c r="B271" s="394" t="s">
        <v>164</v>
      </c>
      <c r="C271" s="388" t="s">
        <v>164</v>
      </c>
      <c r="D271" s="388" t="s">
        <v>713</v>
      </c>
      <c r="E271" s="394"/>
    </row>
    <row r="272" spans="1:5" s="395" customFormat="1">
      <c r="A272" s="388" t="str">
        <f t="shared" si="6"/>
        <v>Total contributions d'estivage</v>
      </c>
      <c r="B272" s="402" t="s">
        <v>448</v>
      </c>
      <c r="C272" s="388" t="s">
        <v>351</v>
      </c>
      <c r="D272" s="388" t="s">
        <v>581</v>
      </c>
      <c r="E272" s="394"/>
    </row>
    <row r="273" spans="1:5" s="395" customFormat="1">
      <c r="A273" s="388" t="str">
        <f t="shared" si="6"/>
        <v>Total contributions au paysage cultivé</v>
      </c>
      <c r="B273" s="388" t="s">
        <v>219</v>
      </c>
      <c r="C273" s="388" t="s">
        <v>220</v>
      </c>
      <c r="D273" s="388" t="s">
        <v>960</v>
      </c>
      <c r="E273" s="394"/>
    </row>
    <row r="274" spans="1:5" s="395" customFormat="1" ht="25.5">
      <c r="A274" s="388" t="str">
        <f t="shared" si="6"/>
        <v>Total contributions au paysage cultivé (y-compris estivage)</v>
      </c>
      <c r="B274" s="388" t="s">
        <v>449</v>
      </c>
      <c r="C274" s="388" t="s">
        <v>352</v>
      </c>
      <c r="D274" s="388" t="s">
        <v>582</v>
      </c>
      <c r="E274" s="394"/>
    </row>
    <row r="275" spans="1:5" s="395" customFormat="1">
      <c r="A275" s="388" t="str">
        <f t="shared" si="6"/>
        <v>Total contributions au système de production</v>
      </c>
      <c r="B275" s="394" t="s">
        <v>284</v>
      </c>
      <c r="C275" s="388" t="s">
        <v>285</v>
      </c>
      <c r="D275" s="388" t="s">
        <v>714</v>
      </c>
      <c r="E275" s="394"/>
    </row>
    <row r="276" spans="1:5" s="395" customFormat="1">
      <c r="A276" s="388" t="str">
        <f t="shared" si="6"/>
        <v>Total contributions à la biodiversité</v>
      </c>
      <c r="B276" s="394" t="s">
        <v>282</v>
      </c>
      <c r="C276" s="388" t="s">
        <v>283</v>
      </c>
      <c r="D276" s="388" t="s">
        <v>715</v>
      </c>
      <c r="E276" s="394"/>
    </row>
    <row r="277" spans="1:5" s="395" customFormat="1" ht="25.5">
      <c r="A277" s="388" t="str">
        <f t="shared" si="6"/>
        <v>Total contributions à la sécurité de l'approvisionnement</v>
      </c>
      <c r="B277" s="394" t="s">
        <v>280</v>
      </c>
      <c r="C277" s="388" t="s">
        <v>281</v>
      </c>
      <c r="D277" s="388" t="s">
        <v>716</v>
      </c>
      <c r="E277" s="394"/>
    </row>
    <row r="278" spans="1:5" s="395" customFormat="1">
      <c r="A278" s="388" t="str">
        <f t="shared" si="6"/>
        <v>Total contribution à la qualité du paysage</v>
      </c>
      <c r="B278" s="394" t="s">
        <v>286</v>
      </c>
      <c r="C278" s="388" t="s">
        <v>287</v>
      </c>
      <c r="D278" s="388" t="s">
        <v>583</v>
      </c>
      <c r="E278" s="394"/>
    </row>
    <row r="279" spans="1:5" s="395" customFormat="1" ht="25.5">
      <c r="A279" s="388" t="str">
        <f>IF($A$2=1,B279,IF($A$2=2,C279,IF($A$2=3,D279,"")))</f>
        <v>Total contributions nationales à l'efficience des ressources</v>
      </c>
      <c r="B279" s="394" t="s">
        <v>368</v>
      </c>
      <c r="C279" s="388" t="s">
        <v>654</v>
      </c>
      <c r="D279" s="388" t="s">
        <v>584</v>
      </c>
      <c r="E279" s="394"/>
    </row>
    <row r="280" spans="1:5" s="395" customFormat="1" ht="25.5">
      <c r="A280" s="388" t="str">
        <f t="shared" si="6"/>
        <v>Total contributions régionales à l'efficience des ressources</v>
      </c>
      <c r="B280" s="394" t="s">
        <v>369</v>
      </c>
      <c r="C280" s="388" t="s">
        <v>655</v>
      </c>
      <c r="D280" s="388" t="s">
        <v>585</v>
      </c>
      <c r="E280" s="394"/>
    </row>
    <row r="281" spans="1:5" s="395" customFormat="1" ht="25.5">
      <c r="A281" s="388" t="str">
        <f t="shared" si="6"/>
        <v>Total des paiements directs généraux de l'année de référence*</v>
      </c>
      <c r="B281" s="388" t="s">
        <v>408</v>
      </c>
      <c r="C281" s="388" t="s">
        <v>384</v>
      </c>
      <c r="D281" s="388" t="s">
        <v>586</v>
      </c>
      <c r="E281" s="394"/>
    </row>
    <row r="282" spans="1:5" s="395" customFormat="1">
      <c r="A282" s="388" t="str">
        <f>IF($A$2=1,B282,IF($A$2=2,C282,IF($A$2=3,D282,"")))</f>
        <v>Total (Fr.)</v>
      </c>
      <c r="B282" s="394" t="s">
        <v>139</v>
      </c>
      <c r="C282" s="388" t="s">
        <v>139</v>
      </c>
      <c r="D282" s="388" t="s">
        <v>717</v>
      </c>
      <c r="E282" s="394"/>
    </row>
    <row r="283" spans="1:5" s="395" customFormat="1">
      <c r="A283" s="388" t="str">
        <f t="shared" si="6"/>
        <v>Total paiements directs et contributions 2023</v>
      </c>
      <c r="B283" s="569" t="s">
        <v>1413</v>
      </c>
      <c r="C283" s="569" t="s">
        <v>1414</v>
      </c>
      <c r="D283" s="569" t="s">
        <v>1415</v>
      </c>
      <c r="E283" s="394"/>
    </row>
    <row r="284" spans="1:5" s="395" customFormat="1">
      <c r="A284" s="388" t="str">
        <f t="shared" si="6"/>
        <v>Truies d'élevage non-allaitantes</v>
      </c>
      <c r="B284" s="394" t="s">
        <v>874</v>
      </c>
      <c r="C284" s="388" t="s">
        <v>20</v>
      </c>
      <c r="D284" s="388" t="s">
        <v>718</v>
      </c>
      <c r="E284" s="394"/>
    </row>
    <row r="285" spans="1:5" s="395" customFormat="1">
      <c r="A285" s="388" t="str">
        <f t="shared" si="6"/>
        <v>UGB</v>
      </c>
      <c r="B285" s="394" t="s">
        <v>113</v>
      </c>
      <c r="C285" s="388" t="s">
        <v>114</v>
      </c>
      <c r="D285" s="388" t="s">
        <v>719</v>
      </c>
      <c r="E285" s="394"/>
    </row>
    <row r="286" spans="1:5" s="395" customFormat="1">
      <c r="A286" s="388" t="str">
        <f t="shared" si="6"/>
        <v>UGBFG</v>
      </c>
      <c r="B286" s="394" t="s">
        <v>234</v>
      </c>
      <c r="C286" s="388" t="s">
        <v>153</v>
      </c>
      <c r="D286" s="388" t="s">
        <v>720</v>
      </c>
      <c r="E286" s="394"/>
    </row>
    <row r="287" spans="1:5" s="395" customFormat="1">
      <c r="A287" s="388" t="str">
        <f t="shared" ref="A287:A323" si="7">IF($A$2=1,B287,IF($A$2=2,C287,IF($A$2=3,D287,"")))</f>
        <v>UGBFG min.</v>
      </c>
      <c r="B287" s="394" t="s">
        <v>235</v>
      </c>
      <c r="C287" s="388" t="s">
        <v>63</v>
      </c>
      <c r="D287" s="388" t="s">
        <v>721</v>
      </c>
      <c r="E287" s="394"/>
    </row>
    <row r="288" spans="1:5" s="395" customFormat="1">
      <c r="A288" s="388" t="str">
        <f t="shared" si="7"/>
        <v>UGBFG réels</v>
      </c>
      <c r="B288" s="394" t="s">
        <v>492</v>
      </c>
      <c r="C288" s="388" t="s">
        <v>491</v>
      </c>
      <c r="D288" s="388" t="s">
        <v>493</v>
      </c>
      <c r="E288" s="394"/>
    </row>
    <row r="289" spans="1:5" s="395" customFormat="1">
      <c r="A289" s="388" t="str">
        <f t="shared" si="7"/>
        <v>* Nouveau facteur UGB pour "autres vaches": 1.0</v>
      </c>
      <c r="B289" s="394" t="s">
        <v>321</v>
      </c>
      <c r="C289" s="394" t="s">
        <v>488</v>
      </c>
      <c r="D289" s="394" t="s">
        <v>798</v>
      </c>
      <c r="E289" s="394"/>
    </row>
    <row r="290" spans="1:5" s="395" customFormat="1">
      <c r="A290" s="388" t="str">
        <f t="shared" si="7"/>
        <v>UMOS</v>
      </c>
      <c r="B290" s="394" t="s">
        <v>993</v>
      </c>
      <c r="C290" s="388" t="s">
        <v>39</v>
      </c>
      <c r="D290" s="388" t="s">
        <v>986</v>
      </c>
      <c r="E290" s="394"/>
    </row>
    <row r="291" spans="1:5" s="395" customFormat="1">
      <c r="A291" s="388" t="str">
        <f>IF($A$2=1,B291,IF($A$2=2,C291,IF($A$2=3,D291,"")))</f>
        <v>UMOS x</v>
      </c>
      <c r="B291" s="394" t="s">
        <v>197</v>
      </c>
      <c r="C291" s="388" t="s">
        <v>55</v>
      </c>
      <c r="D291" s="388" t="s">
        <v>722</v>
      </c>
      <c r="E291" s="394"/>
    </row>
    <row r="292" spans="1:5" s="395" customFormat="1">
      <c r="A292" s="388" t="str">
        <f>IF($A$2=1,B292,IF($A$2=2,C292,IF($A$2=3,D292,"")))</f>
        <v>ha ou PN</v>
      </c>
      <c r="B292" s="394" t="s">
        <v>211</v>
      </c>
      <c r="C292" s="388" t="s">
        <v>213</v>
      </c>
      <c r="D292" s="388" t="s">
        <v>723</v>
      </c>
      <c r="E292" s="394"/>
    </row>
    <row r="293" spans="1:5" s="395" customFormat="1" ht="25.5">
      <c r="A293" s="388" t="str">
        <f t="shared" si="7"/>
        <v>Vaches laitières, brebis laitières et chèvres laitières</v>
      </c>
      <c r="B293" s="394" t="s">
        <v>274</v>
      </c>
      <c r="C293" s="388" t="s">
        <v>43</v>
      </c>
      <c r="D293" s="388" t="s">
        <v>724</v>
      </c>
      <c r="E293" s="394"/>
    </row>
    <row r="294" spans="1:5" s="395" customFormat="1">
      <c r="A294" s="388" t="str">
        <f t="shared" si="7"/>
        <v>Variante:</v>
      </c>
      <c r="B294" s="394" t="s">
        <v>137</v>
      </c>
      <c r="C294" s="388" t="s">
        <v>137</v>
      </c>
      <c r="D294" s="388" t="s">
        <v>137</v>
      </c>
      <c r="E294" s="394"/>
    </row>
    <row r="295" spans="1:5" s="395" customFormat="1" ht="25.5">
      <c r="A295" s="388" t="str">
        <f t="shared" si="7"/>
        <v>Veaux (bovins et buffles d'Asie) jusqu'à 160 jours</v>
      </c>
      <c r="B295" s="388" t="s">
        <v>101</v>
      </c>
      <c r="C295" s="388" t="s">
        <v>372</v>
      </c>
      <c r="D295" s="388" t="s">
        <v>587</v>
      </c>
      <c r="E295" s="394"/>
    </row>
    <row r="296" spans="1:5" s="395" customFormat="1">
      <c r="A296" s="388" t="str">
        <f t="shared" si="7"/>
        <v>vigne</v>
      </c>
      <c r="B296" s="394" t="s">
        <v>118</v>
      </c>
      <c r="C296" s="388" t="s">
        <v>147</v>
      </c>
      <c r="D296" s="388" t="s">
        <v>725</v>
      </c>
      <c r="E296" s="394"/>
    </row>
    <row r="297" spans="1:5" s="395" customFormat="1">
      <c r="A297" s="388" t="str">
        <f t="shared" si="7"/>
        <v>vigne en terrasse</v>
      </c>
      <c r="B297" s="394" t="s">
        <v>2</v>
      </c>
      <c r="C297" s="388" t="s">
        <v>149</v>
      </c>
      <c r="D297" s="388" t="s">
        <v>726</v>
      </c>
      <c r="E297" s="394"/>
    </row>
    <row r="298" spans="1:5" s="395" customFormat="1">
      <c r="A298" s="388" t="str">
        <f t="shared" si="7"/>
        <v>Volaille</v>
      </c>
      <c r="B298" s="394" t="s">
        <v>116</v>
      </c>
      <c r="C298" s="388" t="s">
        <v>162</v>
      </c>
      <c r="D298" s="388" t="s">
        <v>727</v>
      </c>
      <c r="E298" s="394"/>
    </row>
    <row r="299" spans="1:5" s="395" customFormat="1">
      <c r="A299" s="388" t="str">
        <f t="shared" si="7"/>
        <v xml:space="preserve">Z P&amp;ZC: 2500; </v>
      </c>
      <c r="B299" s="394" t="s">
        <v>3</v>
      </c>
      <c r="C299" s="388" t="s">
        <v>127</v>
      </c>
      <c r="D299" s="388" t="s">
        <v>728</v>
      </c>
      <c r="E299" s="394"/>
    </row>
    <row r="300" spans="1:5" s="395" customFormat="1">
      <c r="A300" s="388" t="str">
        <f t="shared" si="7"/>
        <v xml:space="preserve">Z P&amp;ZC: 4000; </v>
      </c>
      <c r="B300" s="394" t="s">
        <v>4</v>
      </c>
      <c r="C300" s="388" t="s">
        <v>128</v>
      </c>
      <c r="D300" s="388" t="s">
        <v>729</v>
      </c>
      <c r="E300" s="394"/>
    </row>
    <row r="301" spans="1:5" s="395" customFormat="1" ht="25.5">
      <c r="A301" s="388" t="str">
        <f t="shared" si="7"/>
        <v>Z P&amp;ZC: 4500; 
ZM1-2: 4100;ZM3-4:3900</v>
      </c>
      <c r="B301" s="394" t="s">
        <v>192</v>
      </c>
      <c r="C301" s="388" t="s">
        <v>215</v>
      </c>
      <c r="D301" s="388" t="s">
        <v>730</v>
      </c>
      <c r="E301" s="394"/>
    </row>
    <row r="302" spans="1:5" s="395" customFormat="1">
      <c r="A302" s="388" t="str">
        <f t="shared" si="7"/>
        <v xml:space="preserve">Z P, ZC, ZM 1.2: 1000;  </v>
      </c>
      <c r="B302" s="394" t="s">
        <v>5</v>
      </c>
      <c r="C302" s="388" t="s">
        <v>131</v>
      </c>
      <c r="D302" s="388" t="s">
        <v>588</v>
      </c>
      <c r="E302" s="394"/>
    </row>
    <row r="303" spans="1:5" s="395" customFormat="1" ht="25.5">
      <c r="A303" s="388" t="str">
        <f t="shared" si="7"/>
        <v>Z P, ZC, ZM 1.2: 1000; 
ZM3-4: 700</v>
      </c>
      <c r="B303" s="394" t="s">
        <v>193</v>
      </c>
      <c r="C303" s="388" t="s">
        <v>129</v>
      </c>
      <c r="D303" s="388" t="s">
        <v>589</v>
      </c>
      <c r="E303" s="394"/>
    </row>
    <row r="304" spans="1:5" s="395" customFormat="1">
      <c r="A304" s="388" t="str">
        <f t="shared" si="7"/>
        <v xml:space="preserve">Z P: 1080; ZC: 860; </v>
      </c>
      <c r="B304" s="388" t="s">
        <v>1284</v>
      </c>
      <c r="C304" s="388" t="s">
        <v>1257</v>
      </c>
      <c r="D304" s="388" t="s">
        <v>1257</v>
      </c>
      <c r="E304" s="394"/>
    </row>
    <row r="305" spans="1:5" s="395" customFormat="1">
      <c r="A305" s="388" t="str">
        <f t="shared" si="7"/>
        <v xml:space="preserve">Z P: 3200; ZC: 2900; </v>
      </c>
      <c r="B305" s="388" t="s">
        <v>6</v>
      </c>
      <c r="C305" s="388" t="s">
        <v>130</v>
      </c>
      <c r="D305" s="388" t="s">
        <v>731</v>
      </c>
      <c r="E305" s="394"/>
    </row>
    <row r="306" spans="1:5" s="395" customFormat="1">
      <c r="A306" s="388" t="str">
        <f t="shared" si="7"/>
        <v xml:space="preserve">Z P: 3400; ZC: 3100; </v>
      </c>
      <c r="B306" s="388" t="s">
        <v>774</v>
      </c>
      <c r="C306" s="388" t="s">
        <v>772</v>
      </c>
      <c r="D306" s="388" t="s">
        <v>773</v>
      </c>
      <c r="E306" s="394"/>
    </row>
    <row r="307" spans="1:5" s="395" customFormat="1" ht="25.5">
      <c r="A307" s="388" t="str">
        <f t="shared" si="7"/>
        <v>Z P: 900; ZC: 750; 
ZM 1-2: 500; ZM 3-4: 350</v>
      </c>
      <c r="B307" s="388" t="s">
        <v>892</v>
      </c>
      <c r="C307" s="388" t="s">
        <v>7</v>
      </c>
      <c r="D307" s="388" t="s">
        <v>732</v>
      </c>
      <c r="E307" s="394"/>
    </row>
    <row r="308" spans="1:5" s="395" customFormat="1">
      <c r="A308" s="388" t="str">
        <f>IF($A$2=1,B308,IF($A$2=2,C308,IF($A$2=3,D308,"")))</f>
        <v>ZM 1-2: 500; ZM 3-4: 450</v>
      </c>
      <c r="B308" s="388" t="s">
        <v>1283</v>
      </c>
      <c r="C308" s="388" t="s">
        <v>1258</v>
      </c>
      <c r="D308" s="388" t="s">
        <v>1258</v>
      </c>
      <c r="E308" s="394"/>
    </row>
    <row r="309" spans="1:5" s="395" customFormat="1">
      <c r="A309" s="388" t="str">
        <f t="shared" si="7"/>
        <v>ZM1-2:2400; ZM3-4:2150</v>
      </c>
      <c r="B309" s="388" t="s">
        <v>768</v>
      </c>
      <c r="C309" s="388" t="s">
        <v>769</v>
      </c>
      <c r="D309" s="388" t="s">
        <v>767</v>
      </c>
      <c r="E309" s="394"/>
    </row>
    <row r="310" spans="1:5" s="395" customFormat="1">
      <c r="A310" s="388" t="str">
        <f t="shared" si="7"/>
        <v>ZM1-2:2600; ZM3-4:3350</v>
      </c>
      <c r="B310" s="388" t="s">
        <v>776</v>
      </c>
      <c r="C310" s="388" t="s">
        <v>777</v>
      </c>
      <c r="D310" s="388" t="s">
        <v>775</v>
      </c>
      <c r="E310" s="394"/>
    </row>
    <row r="311" spans="1:5" s="395" customFormat="1">
      <c r="A311" s="388" t="str">
        <f t="shared" si="7"/>
        <v>ZM1-2:2100;ZM3-4:1900</v>
      </c>
      <c r="B311" s="388" t="s">
        <v>217</v>
      </c>
      <c r="C311" s="388" t="s">
        <v>214</v>
      </c>
      <c r="D311" s="388" t="s">
        <v>733</v>
      </c>
      <c r="E311" s="394"/>
    </row>
    <row r="312" spans="1:5" s="395" customFormat="1">
      <c r="A312" s="388" t="str">
        <f t="shared" si="7"/>
        <v>ZM1-2:3500;ZM3-4:3400</v>
      </c>
      <c r="B312" s="388" t="s">
        <v>218</v>
      </c>
      <c r="C312" s="388" t="s">
        <v>216</v>
      </c>
      <c r="D312" s="388" t="s">
        <v>734</v>
      </c>
      <c r="E312" s="394"/>
    </row>
    <row r="313" spans="1:5" s="395" customFormat="1">
      <c r="A313" s="388" t="str">
        <f t="shared" si="7"/>
        <v>ZM 3 - 4</v>
      </c>
      <c r="B313" s="388" t="s">
        <v>674</v>
      </c>
      <c r="C313" s="388" t="s">
        <v>191</v>
      </c>
      <c r="D313" s="388" t="s">
        <v>191</v>
      </c>
      <c r="E313" s="394"/>
    </row>
    <row r="314" spans="1:5" s="395" customFormat="1">
      <c r="A314" s="388" t="str">
        <f t="shared" si="7"/>
        <v>ZM3-4: 500</v>
      </c>
      <c r="B314" s="394" t="s">
        <v>8</v>
      </c>
      <c r="C314" s="388" t="s">
        <v>132</v>
      </c>
      <c r="D314" s="388" t="s">
        <v>735</v>
      </c>
      <c r="E314" s="394"/>
    </row>
    <row r="315" spans="1:5" s="395" customFormat="1">
      <c r="A315" s="388" t="str">
        <f t="shared" si="7"/>
        <v>Zone de plaine</v>
      </c>
      <c r="B315" s="394" t="s">
        <v>179</v>
      </c>
      <c r="C315" s="388" t="s">
        <v>18</v>
      </c>
      <c r="D315" s="388" t="s">
        <v>736</v>
      </c>
      <c r="E315" s="394"/>
    </row>
    <row r="316" spans="1:5" s="395" customFormat="1">
      <c r="A316" s="388" t="str">
        <f t="shared" si="7"/>
        <v>Zone des collines</v>
      </c>
      <c r="B316" s="394" t="s">
        <v>180</v>
      </c>
      <c r="C316" s="388" t="s">
        <v>154</v>
      </c>
      <c r="D316" s="388" t="s">
        <v>737</v>
      </c>
      <c r="E316" s="394"/>
    </row>
    <row r="317" spans="1:5" s="395" customFormat="1">
      <c r="A317" s="388" t="str">
        <f t="shared" si="7"/>
        <v>Zone montagne 1</v>
      </c>
      <c r="B317" s="394" t="s">
        <v>9</v>
      </c>
      <c r="C317" s="388" t="s">
        <v>155</v>
      </c>
      <c r="D317" s="388" t="s">
        <v>738</v>
      </c>
      <c r="E317" s="394"/>
    </row>
    <row r="318" spans="1:5" s="395" customFormat="1">
      <c r="A318" s="388" t="str">
        <f t="shared" si="7"/>
        <v>Zone montagne 2</v>
      </c>
      <c r="B318" s="394" t="s">
        <v>10</v>
      </c>
      <c r="C318" s="388" t="s">
        <v>156</v>
      </c>
      <c r="D318" s="388" t="s">
        <v>739</v>
      </c>
      <c r="E318" s="394"/>
    </row>
    <row r="319" spans="1:5" s="395" customFormat="1">
      <c r="A319" s="388" t="str">
        <f t="shared" si="7"/>
        <v>Zone montagne 3</v>
      </c>
      <c r="B319" s="394" t="s">
        <v>11</v>
      </c>
      <c r="C319" s="388" t="s">
        <v>157</v>
      </c>
      <c r="D319" s="388" t="s">
        <v>740</v>
      </c>
      <c r="E319" s="394"/>
    </row>
    <row r="320" spans="1:5" s="395" customFormat="1">
      <c r="A320" s="388" t="str">
        <f t="shared" si="7"/>
        <v>Zone montagne 4</v>
      </c>
      <c r="B320" s="394" t="s">
        <v>12</v>
      </c>
      <c r="C320" s="388" t="s">
        <v>158</v>
      </c>
      <c r="D320" s="388" t="s">
        <v>741</v>
      </c>
      <c r="E320" s="394"/>
    </row>
    <row r="321" spans="1:5" s="395" customFormat="1">
      <c r="A321" s="388" t="str">
        <f t="shared" si="7"/>
        <v>prairies riveraines d’un cours d’eau (634)</v>
      </c>
      <c r="B321" s="388" t="s">
        <v>1073</v>
      </c>
      <c r="C321" s="388" t="s">
        <v>1130</v>
      </c>
      <c r="D321" s="388" t="s">
        <v>1131</v>
      </c>
      <c r="E321" s="394"/>
    </row>
    <row r="322" spans="1:5" s="395" customFormat="1">
      <c r="A322" s="388" t="str">
        <f t="shared" si="7"/>
        <v>Prairies de berges le long des eaux courantes*</v>
      </c>
      <c r="B322" s="388" t="s">
        <v>326</v>
      </c>
      <c r="C322" s="388" t="s">
        <v>495</v>
      </c>
      <c r="D322" s="388" t="s">
        <v>799</v>
      </c>
      <c r="E322" s="394"/>
    </row>
    <row r="323" spans="1:5" s="395" customFormat="1" ht="38.25">
      <c r="A323" s="388" t="str">
        <f t="shared" si="7"/>
        <v>* Les contributions pour le niveau de qualité II en zone de berges entrent en vigueur seulement en 2015</v>
      </c>
      <c r="B323" s="388" t="s">
        <v>327</v>
      </c>
      <c r="C323" s="388" t="s">
        <v>496</v>
      </c>
      <c r="D323" s="388" t="s">
        <v>800</v>
      </c>
      <c r="E323" s="394"/>
    </row>
    <row r="324" spans="1:5" s="395" customFormat="1">
      <c r="A324" s="388" t="str">
        <f>IF($A$2=1,B324,IF($A$2=2,C324,IF($A$2=3,D324,"")))</f>
        <v>ZP à ZM2</v>
      </c>
      <c r="B324" s="394" t="s">
        <v>13</v>
      </c>
      <c r="C324" s="388" t="s">
        <v>35</v>
      </c>
      <c r="D324" s="388" t="s">
        <v>590</v>
      </c>
      <c r="E324" s="394"/>
    </row>
    <row r="325" spans="1:5" s="395" customFormat="1">
      <c r="A325" s="388" t="str">
        <f>IF($A$2=1,B325,IF($A$2=2,C325,IF($A$2=3,D325,"")))</f>
        <v>ZP et ZC</v>
      </c>
      <c r="B325" s="394" t="s">
        <v>14</v>
      </c>
      <c r="C325" s="388" t="s">
        <v>122</v>
      </c>
      <c r="D325" s="388" t="s">
        <v>742</v>
      </c>
      <c r="E325" s="394"/>
    </row>
    <row r="326" spans="1:5" s="395" customFormat="1">
      <c r="A326" s="388" t="str">
        <f>IF($A$2=1,B326,IF($A$2=2,C326,IF($A$2=3,D326,"")))</f>
        <v>ZP, ZC, ZM 1-2</v>
      </c>
      <c r="B326" s="394" t="s">
        <v>15</v>
      </c>
      <c r="C326" s="388" t="s">
        <v>121</v>
      </c>
      <c r="D326" s="388" t="s">
        <v>121</v>
      </c>
      <c r="E326" s="394"/>
    </row>
    <row r="327" spans="1:5" s="395" customFormat="1" ht="89.25">
      <c r="A327" s="388" t="str">
        <f>IF($A$2=1,B327,IF($A$2=2,C327,IF($A$2=3,D327,"")))</f>
        <v>Etat selon modifications d'ordonnances dans le cadre de l'initiative parlementaire 19.475 d'avril 2022. 
AGRIDEA décline toute responsabilité quant aux conséquences de l’utilisation de cet outil.                                                          Version 4.9.3</v>
      </c>
      <c r="B327" s="569" t="s">
        <v>1483</v>
      </c>
      <c r="C327" s="569" t="s">
        <v>1484</v>
      </c>
      <c r="D327" s="615" t="s">
        <v>1301</v>
      </c>
      <c r="E327" s="394"/>
    </row>
    <row r="328" spans="1:5" s="395" customFormat="1" ht="14.25" customHeight="1">
      <c r="A328" s="388"/>
      <c r="B328" s="394"/>
      <c r="C328" s="394"/>
      <c r="D328" s="394"/>
      <c r="E328" s="394"/>
    </row>
    <row r="329" spans="1:5" s="395" customFormat="1">
      <c r="A329" s="388" t="str">
        <f t="shared" ref="A329:A396" si="8">IF($A$2=1,B329,IF($A$2=2,C329,IF($A$2=3,D329,"")))</f>
        <v>Contribution d'alpage (pour l'exploitation à l'année)</v>
      </c>
      <c r="B329" s="394" t="s">
        <v>880</v>
      </c>
      <c r="C329" s="388" t="s">
        <v>745</v>
      </c>
      <c r="D329" s="394" t="s">
        <v>958</v>
      </c>
      <c r="E329" s="394"/>
    </row>
    <row r="330" spans="1:5" s="395" customFormat="1" ht="25.5">
      <c r="A330" s="388" t="str">
        <f t="shared" si="8"/>
        <v>Animaux consommant du fourrage grossier mis en estivage</v>
      </c>
      <c r="B330" s="394" t="s">
        <v>881</v>
      </c>
      <c r="C330" s="388" t="s">
        <v>744</v>
      </c>
      <c r="D330" s="394" t="s">
        <v>961</v>
      </c>
      <c r="E330" s="394"/>
    </row>
    <row r="331" spans="1:5" s="395" customFormat="1">
      <c r="A331" s="388" t="str">
        <f t="shared" si="8"/>
        <v>Surfaces herbagères permanentes hors SPB</v>
      </c>
      <c r="B331" s="394" t="s">
        <v>933</v>
      </c>
      <c r="C331" s="388" t="s">
        <v>895</v>
      </c>
      <c r="D331" s="394" t="s">
        <v>591</v>
      </c>
      <c r="E331" s="394"/>
    </row>
    <row r="332" spans="1:5" s="395" customFormat="1">
      <c r="A332" s="388" t="str">
        <f t="shared" si="8"/>
        <v>SPB herbagères (1)</v>
      </c>
      <c r="B332" s="388" t="s">
        <v>86</v>
      </c>
      <c r="C332" s="388" t="s">
        <v>87</v>
      </c>
      <c r="D332" s="388" t="s">
        <v>88</v>
      </c>
      <c r="E332" s="394"/>
    </row>
    <row r="333" spans="1:5" s="395" customFormat="1" ht="25.5">
      <c r="A333" s="388" t="str">
        <f t="shared" si="8"/>
        <v>SPB = Surfaces de promotion de la biodiversité</v>
      </c>
      <c r="B333" s="394" t="s">
        <v>934</v>
      </c>
      <c r="C333" s="388" t="s">
        <v>896</v>
      </c>
      <c r="D333" s="394" t="s">
        <v>989</v>
      </c>
      <c r="E333" s="394"/>
    </row>
    <row r="334" spans="1:5" s="395" customFormat="1">
      <c r="A334" s="388" t="str">
        <f t="shared" si="8"/>
        <v>Surfaces herbagères</v>
      </c>
      <c r="B334" s="394" t="s">
        <v>27</v>
      </c>
      <c r="C334" s="388" t="s">
        <v>62</v>
      </c>
      <c r="D334" s="394" t="s">
        <v>592</v>
      </c>
      <c r="E334" s="394"/>
    </row>
    <row r="335" spans="1:5" s="395" customFormat="1" ht="25.5">
      <c r="A335" s="388" t="str">
        <f t="shared" si="8"/>
        <v>+ Surf expl par tradition zone limitrophe étrangère</v>
      </c>
      <c r="B335" s="397" t="s">
        <v>659</v>
      </c>
      <c r="C335" s="397" t="s">
        <v>658</v>
      </c>
      <c r="D335" s="403" t="s">
        <v>593</v>
      </c>
      <c r="E335" s="394"/>
    </row>
    <row r="336" spans="1:5" s="395" customFormat="1" ht="25.5">
      <c r="A336" s="388" t="str">
        <f t="shared" si="8"/>
        <v>Paiements directs de l’UE pour les surfaces à l'étranger (année précédente)</v>
      </c>
      <c r="B336" s="394" t="s">
        <v>31</v>
      </c>
      <c r="C336" s="388" t="s">
        <v>660</v>
      </c>
      <c r="D336" s="394" t="s">
        <v>594</v>
      </c>
      <c r="E336" s="394"/>
    </row>
    <row r="337" spans="1:5" s="395" customFormat="1" ht="25.5">
      <c r="A337" s="388" t="str">
        <f t="shared" si="8"/>
        <v>Terres ouvertes et cultures pérennes exploitées par tradition à l'étranger</v>
      </c>
      <c r="B337" s="394" t="s">
        <v>29</v>
      </c>
      <c r="C337" s="388" t="s">
        <v>656</v>
      </c>
      <c r="D337" s="394" t="s">
        <v>595</v>
      </c>
      <c r="E337" s="394"/>
    </row>
    <row r="338" spans="1:5" s="395" customFormat="1" ht="25.5">
      <c r="A338" s="388" t="str">
        <f t="shared" si="8"/>
        <v>Surfaces herbagères exploitées par tradition à l'étranger</v>
      </c>
      <c r="B338" s="394" t="s">
        <v>28</v>
      </c>
      <c r="C338" s="388" t="s">
        <v>657</v>
      </c>
      <c r="D338" s="394" t="s">
        <v>596</v>
      </c>
      <c r="E338" s="394"/>
    </row>
    <row r="339" spans="1:5" s="395" customFormat="1" ht="51">
      <c r="A339" s="388" t="str">
        <f t="shared" si="8"/>
        <v>% de la ch. en bétail réalisé (= UGB eff./ UGB min.)
(si la charge minimale en bétail est atteinte = 100%)</v>
      </c>
      <c r="B339" s="394" t="s">
        <v>618</v>
      </c>
      <c r="C339" s="388" t="s">
        <v>497</v>
      </c>
      <c r="D339" s="388" t="s">
        <v>801</v>
      </c>
      <c r="E339" s="394"/>
    </row>
    <row r="340" spans="1:5" s="395" customFormat="1">
      <c r="A340" s="388" t="str">
        <f t="shared" si="8"/>
        <v>Montant = 600 x % ch.</v>
      </c>
      <c r="B340" s="388" t="s">
        <v>1324</v>
      </c>
      <c r="C340" s="388" t="s">
        <v>1326</v>
      </c>
      <c r="D340" s="388" t="s">
        <v>1328</v>
      </c>
      <c r="E340" s="394"/>
    </row>
    <row r="341" spans="1:5" s="395" customFormat="1">
      <c r="A341" s="388" t="str">
        <f t="shared" si="8"/>
        <v>Montant = 300 x % ch.</v>
      </c>
      <c r="B341" s="388" t="s">
        <v>1325</v>
      </c>
      <c r="C341" s="388" t="s">
        <v>1327</v>
      </c>
      <c r="D341" s="388" t="s">
        <v>1329</v>
      </c>
      <c r="E341" s="394"/>
    </row>
    <row r="342" spans="1:5" s="395" customFormat="1" ht="51">
      <c r="A342" s="388" t="str">
        <f t="shared" si="8"/>
        <v>La contribution est payée pour la surface herbagère permanente sur laquelle la charge minimale est atteinte (surface x % ch. en bétail réalisé)</v>
      </c>
      <c r="B342" s="394" t="s">
        <v>619</v>
      </c>
      <c r="C342" s="388" t="s">
        <v>499</v>
      </c>
      <c r="D342" s="394" t="s">
        <v>802</v>
      </c>
      <c r="E342" s="394"/>
    </row>
    <row r="343" spans="1:5" s="395" customFormat="1">
      <c r="A343" s="388" t="str">
        <f t="shared" si="8"/>
        <v>Surface (ha)</v>
      </c>
      <c r="B343" s="394" t="s">
        <v>104</v>
      </c>
      <c r="C343" s="388" t="s">
        <v>105</v>
      </c>
      <c r="D343" s="394" t="s">
        <v>106</v>
      </c>
      <c r="E343" s="394"/>
    </row>
    <row r="344" spans="1:5" s="395" customFormat="1" ht="25.5">
      <c r="A344" s="388" t="str">
        <f t="shared" si="8"/>
        <v>** Surface = SPB herbagères + prairies temporaires + prairies permanentes</v>
      </c>
      <c r="B344" s="394" t="s">
        <v>857</v>
      </c>
      <c r="C344" s="394" t="s">
        <v>500</v>
      </c>
      <c r="D344" s="394" t="s">
        <v>803</v>
      </c>
      <c r="E344" s="394"/>
    </row>
    <row r="345" spans="1:5" s="395" customFormat="1">
      <c r="A345" s="388" t="str">
        <f t="shared" si="8"/>
        <v>Montant (Fr./ha)</v>
      </c>
      <c r="B345" s="394" t="s">
        <v>882</v>
      </c>
      <c r="C345" s="388" t="s">
        <v>746</v>
      </c>
      <c r="D345" s="394" t="s">
        <v>979</v>
      </c>
      <c r="E345" s="394"/>
    </row>
    <row r="346" spans="1:5" s="395" customFormat="1">
      <c r="A346" s="388" t="str">
        <f t="shared" si="8"/>
        <v>Sous-total (Fr.)</v>
      </c>
      <c r="B346" s="394" t="s">
        <v>883</v>
      </c>
      <c r="C346" s="388" t="s">
        <v>747</v>
      </c>
      <c r="D346" s="394" t="s">
        <v>987</v>
      </c>
      <c r="E346" s="394"/>
    </row>
    <row r="347" spans="1:5" s="395" customFormat="1">
      <c r="A347" s="388" t="str">
        <f t="shared" si="8"/>
        <v>Prairies temporaires</v>
      </c>
      <c r="B347" s="394" t="s">
        <v>884</v>
      </c>
      <c r="C347" s="388" t="s">
        <v>749</v>
      </c>
      <c r="D347" s="394" t="s">
        <v>962</v>
      </c>
      <c r="E347" s="394"/>
    </row>
    <row r="348" spans="1:5" s="395" customFormat="1">
      <c r="A348" s="388" t="str">
        <f t="shared" si="8"/>
        <v>surfaces à litière (851)</v>
      </c>
      <c r="B348" s="388" t="s">
        <v>1070</v>
      </c>
      <c r="C348" s="388" t="s">
        <v>1174</v>
      </c>
      <c r="D348" s="388" t="s">
        <v>1175</v>
      </c>
      <c r="E348" s="394"/>
    </row>
    <row r="349" spans="1:5" s="395" customFormat="1">
      <c r="A349" s="388" t="str">
        <f t="shared" si="8"/>
        <v>prairies extensives (611,622)</v>
      </c>
      <c r="B349" s="388" t="s">
        <v>1071</v>
      </c>
      <c r="C349" s="388" t="s">
        <v>1132</v>
      </c>
      <c r="D349" s="388" t="s">
        <v>1133</v>
      </c>
      <c r="E349" s="394"/>
    </row>
    <row r="350" spans="1:5" s="395" customFormat="1">
      <c r="A350" s="388" t="str">
        <f t="shared" si="8"/>
        <v xml:space="preserve">Z P: 1440; ZC: 1220; </v>
      </c>
      <c r="B350" s="388" t="s">
        <v>1273</v>
      </c>
      <c r="C350" s="388" t="s">
        <v>1259</v>
      </c>
      <c r="D350" s="394" t="s">
        <v>1275</v>
      </c>
      <c r="E350" s="394"/>
    </row>
    <row r="351" spans="1:5" s="395" customFormat="1">
      <c r="A351" s="388" t="str">
        <f t="shared" si="8"/>
        <v>ZM1-2:860; ZM3-4:680</v>
      </c>
      <c r="B351" s="388" t="s">
        <v>1274</v>
      </c>
      <c r="C351" s="388" t="s">
        <v>1260</v>
      </c>
      <c r="D351" s="388" t="s">
        <v>1276</v>
      </c>
      <c r="E351" s="394"/>
    </row>
    <row r="352" spans="1:5" s="395" customFormat="1">
      <c r="A352" s="388" t="str">
        <f t="shared" si="8"/>
        <v xml:space="preserve">Z P: 3700; ZC: 3400; </v>
      </c>
      <c r="B352" s="394" t="s">
        <v>885</v>
      </c>
      <c r="C352" s="388" t="s">
        <v>770</v>
      </c>
      <c r="D352" s="394" t="s">
        <v>963</v>
      </c>
      <c r="E352" s="394"/>
    </row>
    <row r="353" spans="1:5" s="395" customFormat="1">
      <c r="A353" s="388" t="str">
        <f t="shared" si="8"/>
        <v>ZM1-2:2900; ZM3-4:2650</v>
      </c>
      <c r="B353" s="394" t="s">
        <v>887</v>
      </c>
      <c r="C353" s="388" t="s">
        <v>771</v>
      </c>
      <c r="D353" s="394" t="s">
        <v>964</v>
      </c>
      <c r="E353" s="394"/>
    </row>
    <row r="354" spans="1:5" s="395" customFormat="1">
      <c r="A354" s="388" t="str">
        <f t="shared" si="8"/>
        <v>bandes culturales extensives</v>
      </c>
      <c r="B354" s="569" t="s">
        <v>1416</v>
      </c>
      <c r="C354" s="569" t="s">
        <v>1417</v>
      </c>
      <c r="D354" s="569" t="s">
        <v>1418</v>
      </c>
      <c r="E354" s="394"/>
    </row>
    <row r="355" spans="1:5" s="395" customFormat="1">
      <c r="A355" s="388" t="str">
        <f t="shared" si="8"/>
        <v xml:space="preserve">Z P: 3900; ZC: 3600; </v>
      </c>
      <c r="B355" s="394" t="s">
        <v>886</v>
      </c>
      <c r="C355" s="388" t="s">
        <v>779</v>
      </c>
      <c r="D355" s="394" t="s">
        <v>965</v>
      </c>
      <c r="E355" s="394"/>
    </row>
    <row r="356" spans="1:5" s="395" customFormat="1">
      <c r="A356" s="388" t="str">
        <f t="shared" si="8"/>
        <v>ZM1-2:3100; ZM3-4:2850</v>
      </c>
      <c r="B356" s="394" t="s">
        <v>888</v>
      </c>
      <c r="C356" s="388" t="s">
        <v>780</v>
      </c>
      <c r="D356" s="394" t="s">
        <v>966</v>
      </c>
      <c r="E356" s="394"/>
    </row>
    <row r="357" spans="1:5" s="395" customFormat="1">
      <c r="A357" s="388" t="str">
        <f t="shared" si="8"/>
        <v>SPB spécifique à la région (594)</v>
      </c>
      <c r="B357" s="388" t="s">
        <v>1180</v>
      </c>
      <c r="C357" s="388" t="s">
        <v>1179</v>
      </c>
      <c r="D357" s="388" t="s">
        <v>1181</v>
      </c>
      <c r="E357" s="394"/>
    </row>
    <row r="358" spans="1:5" s="395" customFormat="1">
      <c r="A358" s="388" t="str">
        <f t="shared" si="8"/>
        <v>autres surfaces de compensation écologique</v>
      </c>
      <c r="B358" s="402" t="s">
        <v>441</v>
      </c>
      <c r="C358" s="388" t="s">
        <v>373</v>
      </c>
      <c r="D358" s="394" t="s">
        <v>597</v>
      </c>
      <c r="E358" s="394"/>
    </row>
    <row r="359" spans="1:5" s="395" customFormat="1">
      <c r="A359" s="388" t="str">
        <f t="shared" si="8"/>
        <v>Montant additionnel (Fr./ha)</v>
      </c>
      <c r="B359" s="394" t="s">
        <v>950</v>
      </c>
      <c r="C359" s="388" t="s">
        <v>781</v>
      </c>
      <c r="D359" s="394" t="s">
        <v>980</v>
      </c>
      <c r="E359" s="394"/>
    </row>
    <row r="360" spans="1:5" s="395" customFormat="1">
      <c r="A360" s="388" t="str">
        <f t="shared" si="8"/>
        <v>Mesure:</v>
      </c>
      <c r="B360" s="388" t="s">
        <v>905</v>
      </c>
      <c r="C360" s="388" t="s">
        <v>904</v>
      </c>
      <c r="D360" s="394" t="s">
        <v>967</v>
      </c>
      <c r="E360" s="394"/>
    </row>
    <row r="361" spans="1:5" s="395" customFormat="1">
      <c r="A361" s="388" t="str">
        <f t="shared" si="8"/>
        <v>Unité (ha ou PN)</v>
      </c>
      <c r="B361" s="394" t="s">
        <v>889</v>
      </c>
      <c r="C361" s="388" t="s">
        <v>782</v>
      </c>
      <c r="D361" s="394" t="s">
        <v>968</v>
      </c>
      <c r="E361" s="394"/>
    </row>
    <row r="362" spans="1:5" s="395" customFormat="1">
      <c r="A362" s="388" t="str">
        <f t="shared" si="8"/>
        <v>Terrains en pente &gt; 50%</v>
      </c>
      <c r="B362" s="388" t="s">
        <v>1232</v>
      </c>
      <c r="C362" s="388" t="s">
        <v>1231</v>
      </c>
      <c r="D362" s="388" t="s">
        <v>1233</v>
      </c>
      <c r="E362" s="394"/>
    </row>
    <row r="363" spans="1:5" s="395" customFormat="1">
      <c r="A363" s="388" t="str">
        <f t="shared" si="8"/>
        <v>Surfaces sans charge minimale en bétail</v>
      </c>
      <c r="B363" s="394" t="s">
        <v>854</v>
      </c>
      <c r="C363" s="388" t="s">
        <v>463</v>
      </c>
      <c r="D363" s="394" t="s">
        <v>598</v>
      </c>
      <c r="E363" s="394"/>
    </row>
    <row r="364" spans="1:5" s="395" customFormat="1">
      <c r="A364" s="388" t="str">
        <f t="shared" si="8"/>
        <v>Surfaces avec charge minimale en bétail</v>
      </c>
      <c r="B364" s="394" t="s">
        <v>866</v>
      </c>
      <c r="C364" s="388" t="s">
        <v>464</v>
      </c>
      <c r="D364" s="394" t="s">
        <v>599</v>
      </c>
      <c r="E364" s="394"/>
    </row>
    <row r="365" spans="1:5" s="395" customFormat="1" ht="38.25">
      <c r="A365" s="388" t="str">
        <f t="shared" si="8"/>
        <v>Surfaces soumises à une charge minimale en bétail (selon saisies dans la page "sécurité de l'approvisionnement")</v>
      </c>
      <c r="B365" s="394" t="s">
        <v>25</v>
      </c>
      <c r="C365" s="388" t="s">
        <v>661</v>
      </c>
      <c r="D365" s="394" t="s">
        <v>600</v>
      </c>
      <c r="E365" s="394"/>
    </row>
    <row r="366" spans="1:5" s="395" customFormat="1">
      <c r="A366" s="388"/>
      <c r="B366" s="388"/>
      <c r="C366" s="388"/>
      <c r="D366" s="394"/>
      <c r="E366" s="394"/>
    </row>
    <row r="367" spans="1:5" s="395" customFormat="1" ht="51">
      <c r="A367" s="388" t="str">
        <f t="shared" si="8"/>
        <v>(1) SPB herbagères = prairies extensives et peu intensives, pâturages extensifs et pâturages boisés, prairies riveraines d’un cours d’eau</v>
      </c>
      <c r="B367" s="388" t="s">
        <v>829</v>
      </c>
      <c r="C367" s="388" t="s">
        <v>827</v>
      </c>
      <c r="D367" s="388" t="s">
        <v>832</v>
      </c>
      <c r="E367" s="394"/>
    </row>
    <row r="368" spans="1:5" s="395" customFormat="1">
      <c r="A368" s="388" t="str">
        <f t="shared" si="8"/>
        <v>(ha)</v>
      </c>
      <c r="B368" s="388" t="s">
        <v>899</v>
      </c>
      <c r="C368" s="388" t="s">
        <v>899</v>
      </c>
      <c r="D368" s="388" t="s">
        <v>899</v>
      </c>
      <c r="E368" s="394"/>
    </row>
    <row r="369" spans="1:5" s="395" customFormat="1">
      <c r="A369" s="388" t="str">
        <f t="shared" si="8"/>
        <v>Condition: projet collectif</v>
      </c>
      <c r="B369" s="394" t="s">
        <v>935</v>
      </c>
      <c r="C369" s="388" t="s">
        <v>901</v>
      </c>
      <c r="D369" s="394" t="s">
        <v>969</v>
      </c>
      <c r="E369" s="394"/>
    </row>
    <row r="370" spans="1:5" s="395" customFormat="1">
      <c r="A370" s="388" t="str">
        <f t="shared" si="8"/>
        <v>Désignation</v>
      </c>
      <c r="B370" s="388" t="s">
        <v>903</v>
      </c>
      <c r="C370" s="388" t="s">
        <v>902</v>
      </c>
      <c r="D370" s="394" t="s">
        <v>970</v>
      </c>
      <c r="E370" s="394"/>
    </row>
    <row r="371" spans="1:5" s="395" customFormat="1">
      <c r="A371" s="388" t="str">
        <f t="shared" si="8"/>
        <v>Nombre d'unités*</v>
      </c>
      <c r="B371" s="394" t="s">
        <v>936</v>
      </c>
      <c r="C371" s="388" t="s">
        <v>906</v>
      </c>
      <c r="D371" s="394" t="s">
        <v>942</v>
      </c>
      <c r="E371" s="394"/>
    </row>
    <row r="372" spans="1:5" s="395" customFormat="1" ht="25.5">
      <c r="A372" s="388" t="str">
        <f t="shared" si="8"/>
        <v>* ha, PN selon charge usuelle, unités, mètres linéaires, exploitation</v>
      </c>
      <c r="B372" s="394" t="s">
        <v>329</v>
      </c>
      <c r="C372" s="388" t="s">
        <v>630</v>
      </c>
      <c r="D372" s="394" t="s">
        <v>804</v>
      </c>
      <c r="E372" s="394" t="s">
        <v>330</v>
      </c>
    </row>
    <row r="373" spans="1:5" s="395" customFormat="1">
      <c r="A373" s="388" t="str">
        <f t="shared" si="8"/>
        <v>** Voir feuille "limitations"</v>
      </c>
      <c r="B373" s="394" t="s">
        <v>1060</v>
      </c>
      <c r="C373" s="394" t="s">
        <v>1059</v>
      </c>
      <c r="D373" s="394" t="s">
        <v>1061</v>
      </c>
      <c r="E373" s="394"/>
    </row>
    <row r="374" spans="1:5" s="395" customFormat="1">
      <c r="A374" s="388" t="str">
        <f t="shared" si="8"/>
        <v>- Limitation par unité de main-d'œuvre standard</v>
      </c>
      <c r="B374" s="394" t="s">
        <v>951</v>
      </c>
      <c r="C374" s="394" t="s">
        <v>473</v>
      </c>
      <c r="D374" s="394" t="s">
        <v>601</v>
      </c>
      <c r="E374" s="394"/>
    </row>
    <row r="375" spans="1:5" s="395" customFormat="1">
      <c r="A375" s="388" t="str">
        <f t="shared" si="8"/>
        <v>Limitation par unité de main-d'œuvre standard</v>
      </c>
      <c r="B375" s="394" t="s">
        <v>937</v>
      </c>
      <c r="C375" s="388" t="s">
        <v>913</v>
      </c>
      <c r="D375" s="394" t="s">
        <v>971</v>
      </c>
      <c r="E375" s="394"/>
    </row>
    <row r="376" spans="1:5" s="395" customFormat="1" ht="25.5">
      <c r="A376" s="388" t="str">
        <f t="shared" si="8"/>
        <v>Paiements directs soumis à la limitation par UMOS:</v>
      </c>
      <c r="B376" s="394" t="s">
        <v>938</v>
      </c>
      <c r="C376" s="388" t="s">
        <v>914</v>
      </c>
      <c r="D376" s="394" t="s">
        <v>974</v>
      </c>
      <c r="E376" s="394"/>
    </row>
    <row r="377" spans="1:5" s="395" customFormat="1" ht="25.5">
      <c r="A377" s="388" t="str">
        <f t="shared" si="8"/>
        <v>Contributions à la sécurité de l'approvisionnement (sauf contribution pour des cultures particulières)</v>
      </c>
      <c r="B377" s="394" t="s">
        <v>944</v>
      </c>
      <c r="C377" s="388" t="s">
        <v>915</v>
      </c>
      <c r="D377" s="388" t="s">
        <v>972</v>
      </c>
      <c r="E377" s="394"/>
    </row>
    <row r="378" spans="1:5" s="395" customFormat="1" ht="25.5">
      <c r="A378" s="388" t="str">
        <f>IF($A$2=1,B378,IF($A$2=2,C378,IF($A$2=3,D378,"")))</f>
        <v>Contributions à la biodiversité (sauf contribution mise en réseau)</v>
      </c>
      <c r="B378" s="394" t="s">
        <v>945</v>
      </c>
      <c r="C378" s="388" t="s">
        <v>916</v>
      </c>
      <c r="D378" s="394" t="s">
        <v>778</v>
      </c>
      <c r="E378" s="394"/>
    </row>
    <row r="379" spans="1:5" s="395" customFormat="1">
      <c r="A379" s="388" t="str">
        <f t="shared" si="8"/>
        <v>Limite (Fr./ UMOS)</v>
      </c>
      <c r="B379" s="394" t="s">
        <v>409</v>
      </c>
      <c r="C379" s="388" t="s">
        <v>472</v>
      </c>
      <c r="D379" s="394" t="s">
        <v>602</v>
      </c>
      <c r="E379" s="394"/>
    </row>
    <row r="380" spans="1:5" s="395" customFormat="1" ht="25.5">
      <c r="A380" s="388" t="str">
        <f t="shared" si="8"/>
        <v>Limite en 2012: Fr. 70'000.-/ UMOS - nouvelle limite pas encore fixée</v>
      </c>
      <c r="B380" s="394" t="s">
        <v>946</v>
      </c>
      <c r="C380" s="388" t="s">
        <v>917</v>
      </c>
      <c r="D380" s="394" t="s">
        <v>973</v>
      </c>
      <c r="E380" s="394"/>
    </row>
    <row r="381" spans="1:5" s="395" customFormat="1" ht="25.5">
      <c r="A381" s="388" t="str">
        <f t="shared" si="8"/>
        <v>Plafond des paiements directs soumis à la limite:</v>
      </c>
      <c r="B381" s="394" t="s">
        <v>947</v>
      </c>
      <c r="C381" s="388" t="s">
        <v>918</v>
      </c>
      <c r="D381" s="394" t="s">
        <v>975</v>
      </c>
      <c r="E381" s="394"/>
    </row>
    <row r="382" spans="1:5" s="395" customFormat="1" ht="25.5">
      <c r="A382" s="388" t="str">
        <f t="shared" si="8"/>
        <v>Paiements directs soumis à la limite versés:</v>
      </c>
      <c r="B382" s="394" t="s">
        <v>956</v>
      </c>
      <c r="C382" s="388" t="s">
        <v>919</v>
      </c>
      <c r="D382" s="394" t="s">
        <v>976</v>
      </c>
      <c r="E382" s="394"/>
    </row>
    <row r="383" spans="1:5" s="395" customFormat="1">
      <c r="A383" s="388" t="str">
        <f t="shared" si="8"/>
        <v>Le plus petit des montants entre b) et c)</v>
      </c>
      <c r="B383" s="394" t="s">
        <v>957</v>
      </c>
      <c r="C383" s="388" t="s">
        <v>923</v>
      </c>
      <c r="D383" s="394" t="s">
        <v>981</v>
      </c>
      <c r="E383" s="394"/>
    </row>
    <row r="384" spans="1:5" s="395" customFormat="1" ht="25.5">
      <c r="A384" s="388" t="str">
        <f t="shared" si="8"/>
        <v>Réduction à appliquer au montant total des paiements directs:</v>
      </c>
      <c r="B384" s="394" t="s">
        <v>948</v>
      </c>
      <c r="C384" s="388" t="s">
        <v>924</v>
      </c>
      <c r="D384" s="394" t="s">
        <v>982</v>
      </c>
      <c r="E384" s="394"/>
    </row>
    <row r="385" spans="1:5" s="395" customFormat="1">
      <c r="A385" s="388" t="str">
        <f t="shared" si="8"/>
        <v>Réduction selon limite par UMOS*</v>
      </c>
      <c r="B385" s="394" t="s">
        <v>1032</v>
      </c>
      <c r="C385" s="394" t="s">
        <v>1033</v>
      </c>
      <c r="D385" s="394" t="s">
        <v>1034</v>
      </c>
      <c r="E385" s="394"/>
    </row>
    <row r="386" spans="1:5" s="395" customFormat="1" ht="25.5">
      <c r="A386" s="388" t="str">
        <f t="shared" si="8"/>
        <v>Réduction selon programme d'économies du budget fédéral CRT 2014**</v>
      </c>
      <c r="B386" s="394" t="s">
        <v>1036</v>
      </c>
      <c r="C386" s="394" t="s">
        <v>1039</v>
      </c>
      <c r="D386" s="394" t="s">
        <v>1046</v>
      </c>
      <c r="E386" s="394"/>
    </row>
    <row r="387" spans="1:5" s="395" customFormat="1">
      <c r="A387" s="388" t="str">
        <f t="shared" si="8"/>
        <v>(pour 2015, 2016 et 2017: 1.9%)</v>
      </c>
      <c r="B387" s="394" t="s">
        <v>1035</v>
      </c>
      <c r="C387" s="394" t="s">
        <v>1041</v>
      </c>
      <c r="D387" s="394" t="s">
        <v>1047</v>
      </c>
      <c r="E387" s="394"/>
    </row>
    <row r="388" spans="1:5" s="395" customFormat="1">
      <c r="A388" s="388" t="str">
        <f t="shared" si="8"/>
        <v>x taux</v>
      </c>
      <c r="B388" s="394" t="s">
        <v>1037</v>
      </c>
      <c r="C388" s="394" t="s">
        <v>1040</v>
      </c>
      <c r="D388" s="394" t="s">
        <v>1048</v>
      </c>
      <c r="E388" s="394"/>
    </row>
    <row r="389" spans="1:5" s="395" customFormat="1" ht="51">
      <c r="A389" s="388" t="str">
        <f t="shared" si="8"/>
        <v>** La réduction s'applique sur la somme des reports 1 à 6 de la récapitulation ci-dessus, moins les contributions pour la mise en réseau (biodiversité)</v>
      </c>
      <c r="B389" s="394" t="s">
        <v>1038</v>
      </c>
      <c r="C389" s="394" t="s">
        <v>1042</v>
      </c>
      <c r="D389" s="394" t="s">
        <v>1049</v>
      </c>
      <c r="E389" s="394"/>
    </row>
    <row r="390" spans="1:5" s="395" customFormat="1" ht="25.5">
      <c r="A390" s="388" t="str">
        <f t="shared" si="8"/>
        <v>Valeurs calculées (report pages précédentes = contr. 2014)</v>
      </c>
      <c r="B390" s="394" t="s">
        <v>836</v>
      </c>
      <c r="C390" s="388" t="s">
        <v>833</v>
      </c>
      <c r="D390" s="394" t="s">
        <v>929</v>
      </c>
      <c r="E390" s="394"/>
    </row>
    <row r="391" spans="1:5" s="395" customFormat="1" ht="51">
      <c r="A391" s="388" t="str">
        <f>IF($A$2=1,B391,IF($A$2=2,C391,IF($A$2=3,D391,"")))</f>
        <v>Report des val. indicatives calculées ou saisie de val. adaptées selon données déterminantes** et totalité des suppléments de contr. à la sécurité de l'approvisionnement***</v>
      </c>
      <c r="B391" s="388" t="s">
        <v>928</v>
      </c>
      <c r="C391" s="388" t="s">
        <v>927</v>
      </c>
      <c r="D391" s="394" t="s">
        <v>930</v>
      </c>
      <c r="E391" s="394"/>
    </row>
    <row r="392" spans="1:5" s="395" customFormat="1">
      <c r="A392" s="388" t="str">
        <f t="shared" si="8"/>
        <v>Montant de base (Fr./ha)</v>
      </c>
      <c r="B392" s="394" t="s">
        <v>949</v>
      </c>
      <c r="C392" s="388" t="s">
        <v>925</v>
      </c>
      <c r="D392" s="394" t="s">
        <v>983</v>
      </c>
      <c r="E392" s="394"/>
    </row>
    <row r="393" spans="1:5" s="395" customFormat="1">
      <c r="A393" s="388" t="str">
        <f t="shared" si="8"/>
        <v>Contr. niveau de qualité 1 (Fr./ha)</v>
      </c>
      <c r="B393" s="394" t="s">
        <v>868</v>
      </c>
      <c r="C393" s="388" t="s">
        <v>468</v>
      </c>
      <c r="D393" s="394" t="s">
        <v>620</v>
      </c>
      <c r="E393" s="394"/>
    </row>
    <row r="394" spans="1:5" s="395" customFormat="1">
      <c r="A394" s="388" t="str">
        <f t="shared" si="8"/>
        <v>Contr. niveau de qualité 2 (Fr./ha)</v>
      </c>
      <c r="B394" s="394" t="s">
        <v>869</v>
      </c>
      <c r="C394" s="388" t="s">
        <v>467</v>
      </c>
      <c r="D394" s="394" t="s">
        <v>621</v>
      </c>
      <c r="E394" s="394"/>
    </row>
    <row r="395" spans="1:5" s="395" customFormat="1">
      <c r="A395" s="388" t="str">
        <f>IF($A$2=1,B395,IF($A$2=2,C395,IF($A$2=3,D395,"")))</f>
        <v>Contr. niveau de qualité 3 (Fr./ha)</v>
      </c>
      <c r="B395" s="394" t="s">
        <v>870</v>
      </c>
      <c r="C395" s="388" t="s">
        <v>466</v>
      </c>
      <c r="D395" s="394" t="s">
        <v>622</v>
      </c>
      <c r="E395" s="394"/>
    </row>
    <row r="396" spans="1:5" s="395" customFormat="1">
      <c r="A396" s="388" t="str">
        <f t="shared" si="8"/>
        <v>Contr. mise en réseau (Fr./ha)</v>
      </c>
      <c r="B396" s="394" t="s">
        <v>871</v>
      </c>
      <c r="C396" s="388" t="s">
        <v>465</v>
      </c>
      <c r="D396" s="394" t="s">
        <v>633</v>
      </c>
      <c r="E396" s="394"/>
    </row>
    <row r="397" spans="1:5" s="395" customFormat="1" ht="51">
      <c r="A397" s="388" t="str">
        <f>IF($A$2=1,B397,IF($A$2=2,C397,IF($A$2=3,D397,"")))</f>
        <v>Attention! Les surfaces de qualité 2 comptent aussi pour les contributions de niveau de qualité 1. Saisir les surfaces aussi pour les niveaux de qualité inférieurs.</v>
      </c>
      <c r="B397" s="388" t="s">
        <v>1098</v>
      </c>
      <c r="C397" s="388" t="s">
        <v>1099</v>
      </c>
      <c r="D397" s="388" t="s">
        <v>1100</v>
      </c>
      <c r="E397" s="394"/>
    </row>
    <row r="398" spans="1:5" s="395" customFormat="1">
      <c r="A398" s="388" t="str">
        <f t="shared" ref="A398:A426" si="9">IF($A$2=1,B398,IF($A$2=2,C398,IF($A$2=3,D398,"")))</f>
        <v>Charge min /ha SPB herbagères</v>
      </c>
      <c r="B398" s="394" t="s">
        <v>847</v>
      </c>
      <c r="C398" s="388" t="s">
        <v>417</v>
      </c>
      <c r="D398" s="388" t="s">
        <v>634</v>
      </c>
      <c r="E398" s="394"/>
    </row>
    <row r="399" spans="1:5" s="395" customFormat="1" ht="25.5">
      <c r="A399" s="388" t="str">
        <f t="shared" si="9"/>
        <v>Contribution supplémentaire pour travail ménageant le sol sans herbicide</v>
      </c>
      <c r="B399" s="388" t="s">
        <v>444</v>
      </c>
      <c r="C399" s="388" t="s">
        <v>374</v>
      </c>
      <c r="D399" s="388" t="s">
        <v>635</v>
      </c>
      <c r="E399" s="394"/>
    </row>
    <row r="400" spans="1:5" s="395" customFormat="1">
      <c r="A400" s="388" t="str">
        <f t="shared" si="9"/>
        <v>Techniques d'application de précision***</v>
      </c>
      <c r="B400" s="388" t="s">
        <v>1217</v>
      </c>
      <c r="C400" s="388" t="s">
        <v>1218</v>
      </c>
      <c r="D400" s="388" t="s">
        <v>1219</v>
      </c>
      <c r="E400" s="394"/>
    </row>
    <row r="401" spans="1:5" s="395" customFormat="1">
      <c r="A401" s="388" t="str">
        <f t="shared" si="9"/>
        <v>Nouveau: contribution unique par machine</v>
      </c>
      <c r="B401" s="388" t="s">
        <v>858</v>
      </c>
      <c r="C401" s="388" t="s">
        <v>501</v>
      </c>
      <c r="D401" s="388" t="s">
        <v>805</v>
      </c>
      <c r="E401" s="394"/>
    </row>
    <row r="402" spans="1:5" s="395" customFormat="1" ht="51">
      <c r="A402" s="388" t="str">
        <f t="shared" si="9"/>
        <v>1. Pulvérisation sous-foliaire: 75% des coûts d'acquisition par rampe, jusqu'à un maximum de Fr. 170.- par unité de pulvérisation</v>
      </c>
      <c r="B402" s="388" t="s">
        <v>859</v>
      </c>
      <c r="C402" s="388" t="s">
        <v>502</v>
      </c>
      <c r="D402" s="388" t="s">
        <v>806</v>
      </c>
      <c r="E402" s="394" t="s">
        <v>860</v>
      </c>
    </row>
    <row r="403" spans="1:5" s="395" customFormat="1" ht="51">
      <c r="A403" s="388" t="str">
        <f t="shared" si="9"/>
        <v>2. Pulvérisateurs anti-dérive en cultures pérennes: 25% des coûts d'acquisition par pulvérisateur à jets projetés avec flux d’air horizontal orientable, jusqu'à un maximum de Fr. 6'000.-</v>
      </c>
      <c r="B403" s="569" t="s">
        <v>1456</v>
      </c>
      <c r="C403" s="569" t="s">
        <v>1457</v>
      </c>
      <c r="D403" s="615" t="s">
        <v>807</v>
      </c>
      <c r="E403" s="394"/>
    </row>
    <row r="404" spans="1:5" s="395" customFormat="1" ht="63.75">
      <c r="A404" s="388" t="str">
        <f t="shared" si="9"/>
        <v>3. Pulvérisateur à jets projetés avec flux d’air horizontal orientable et détecteur de végétation, ou pulvérisateur sous tunnel: 25% des coûts d'acquisition, jusqu'à un maximum de Fr. 10'000.-</v>
      </c>
      <c r="B404" s="388" t="s">
        <v>632</v>
      </c>
      <c r="C404" s="388" t="s">
        <v>75</v>
      </c>
      <c r="D404" s="388" t="s">
        <v>808</v>
      </c>
      <c r="E404" s="394"/>
    </row>
    <row r="405" spans="1:5" s="395" customFormat="1" ht="38.25">
      <c r="A405" s="388" t="str">
        <f t="shared" si="9"/>
        <v>***Pulvérisation sous-foliaire (droplegs); pulvérisateurs anti-dérive utilisés en arboriculture fruitière et en viticulture.</v>
      </c>
      <c r="B405" s="388" t="s">
        <v>1220</v>
      </c>
      <c r="C405" s="388" t="s">
        <v>1221</v>
      </c>
      <c r="D405" s="388" t="s">
        <v>1222</v>
      </c>
      <c r="E405" s="394"/>
    </row>
    <row r="406" spans="1:5" s="395" customFormat="1">
      <c r="A406" s="388" t="str">
        <f t="shared" si="9"/>
        <v>Surface donnant droit à la contribution</v>
      </c>
      <c r="B406" s="388" t="s">
        <v>875</v>
      </c>
      <c r="C406" s="388" t="s">
        <v>375</v>
      </c>
      <c r="D406" s="394" t="s">
        <v>636</v>
      </c>
      <c r="E406" s="394"/>
    </row>
    <row r="407" spans="1:5" s="395" customFormat="1" ht="25.5">
      <c r="A407" s="388" t="str">
        <f t="shared" si="9"/>
        <v>2014: 1'600; dès 2015: 1'400</v>
      </c>
      <c r="B407" s="394" t="s">
        <v>615</v>
      </c>
      <c r="C407" s="394" t="s">
        <v>616</v>
      </c>
      <c r="D407" s="394" t="s">
        <v>617</v>
      </c>
      <c r="E407" s="394"/>
    </row>
    <row r="408" spans="1:5" s="395" customFormat="1" ht="25.5">
      <c r="A408" s="388" t="str">
        <f t="shared" si="9"/>
        <v>* 2014-2016: &gt;35-50% und &gt; 50% = 0.03
dès 2017: &gt;35-50% = 0.025; &gt;50% = 0.05</v>
      </c>
      <c r="B408" s="388" t="s">
        <v>649</v>
      </c>
      <c r="C408" s="388" t="s">
        <v>650</v>
      </c>
      <c r="D408" s="394" t="s">
        <v>651</v>
      </c>
      <c r="E408" s="394"/>
    </row>
    <row r="409" spans="1:5" s="395" customFormat="1">
      <c r="A409" s="388" t="str">
        <f t="shared" si="9"/>
        <v>Autres vaches (par exemple vaches allaitantes)</v>
      </c>
      <c r="B409" s="394" t="s">
        <v>364</v>
      </c>
      <c r="C409" s="388" t="s">
        <v>471</v>
      </c>
      <c r="D409" s="394" t="s">
        <v>637</v>
      </c>
      <c r="E409" s="394"/>
    </row>
    <row r="410" spans="1:5" s="395" customFormat="1" ht="25.5">
      <c r="A410" s="388" t="str">
        <f t="shared" si="9"/>
        <v>Echelonnement (réduction) de la contribution, si plus de 60 ha par exploitation:</v>
      </c>
      <c r="B410" s="394" t="s">
        <v>438</v>
      </c>
      <c r="C410" s="388" t="s">
        <v>439</v>
      </c>
      <c r="D410" s="394" t="s">
        <v>809</v>
      </c>
      <c r="E410" s="394"/>
    </row>
    <row r="411" spans="1:5" s="395" customFormat="1">
      <c r="A411" s="388" t="str">
        <f t="shared" si="9"/>
        <v>Part de surface entre</v>
      </c>
      <c r="B411" s="394" t="s">
        <v>849</v>
      </c>
      <c r="C411" s="388" t="s">
        <v>469</v>
      </c>
      <c r="D411" s="394" t="s">
        <v>638</v>
      </c>
      <c r="E411" s="394"/>
    </row>
    <row r="412" spans="1:5" s="395" customFormat="1">
      <c r="A412" s="388" t="str">
        <f t="shared" si="9"/>
        <v>nombre d'exploitations</v>
      </c>
      <c r="B412" s="394" t="s">
        <v>419</v>
      </c>
      <c r="C412" s="388" t="s">
        <v>440</v>
      </c>
      <c r="D412" s="388" t="s">
        <v>810</v>
      </c>
      <c r="E412" s="394"/>
    </row>
    <row r="413" spans="1:5" s="395" customFormat="1">
      <c r="A413" s="388" t="str">
        <f t="shared" si="9"/>
        <v>Taux de réduction</v>
      </c>
      <c r="B413" s="394" t="s">
        <v>850</v>
      </c>
      <c r="C413" s="388" t="s">
        <v>470</v>
      </c>
      <c r="D413" s="394" t="s">
        <v>639</v>
      </c>
      <c r="E413" s="394"/>
    </row>
    <row r="414" spans="1:5" s="395" customFormat="1">
      <c r="A414" s="388" t="str">
        <f t="shared" si="9"/>
        <v>Surface pondérée</v>
      </c>
      <c r="B414" s="394" t="s">
        <v>410</v>
      </c>
      <c r="C414" s="388" t="s">
        <v>394</v>
      </c>
      <c r="D414" s="394" t="s">
        <v>640</v>
      </c>
      <c r="E414" s="394"/>
    </row>
    <row r="415" spans="1:5" s="395" customFormat="1">
      <c r="A415" s="388" t="str">
        <f t="shared" si="9"/>
        <v>Total surface</v>
      </c>
      <c r="B415" s="394" t="s">
        <v>411</v>
      </c>
      <c r="C415" s="388" t="s">
        <v>386</v>
      </c>
      <c r="D415" s="394" t="s">
        <v>641</v>
      </c>
      <c r="E415" s="394"/>
    </row>
    <row r="416" spans="1:5" s="395" customFormat="1">
      <c r="A416" s="388" t="str">
        <f t="shared" si="9"/>
        <v>Sous-total contribution de base</v>
      </c>
      <c r="B416" s="394" t="s">
        <v>412</v>
      </c>
      <c r="C416" s="388" t="s">
        <v>385</v>
      </c>
      <c r="D416" s="394" t="s">
        <v>642</v>
      </c>
      <c r="E416" s="394"/>
    </row>
    <row r="417" spans="1:5" s="395" customFormat="1" ht="38.25">
      <c r="A417" s="388" t="str">
        <f t="shared" si="9"/>
        <v>*Niveau de déclivité &gt; 50% et contributions pour les terrains en pente en zone de plaine entrent en vigueur en 2017 seulement</v>
      </c>
      <c r="B417" s="388" t="s">
        <v>631</v>
      </c>
      <c r="C417" s="388" t="s">
        <v>395</v>
      </c>
      <c r="D417" s="394" t="s">
        <v>643</v>
      </c>
      <c r="E417" s="394" t="s">
        <v>77</v>
      </c>
    </row>
    <row r="418" spans="1:5" s="395" customFormat="1" ht="25.5">
      <c r="A418" s="388" t="str">
        <f t="shared" si="9"/>
        <v>Surface donnant droit aux contributions &gt; 35% de pente*</v>
      </c>
      <c r="B418" s="388" t="s">
        <v>80</v>
      </c>
      <c r="C418" s="388" t="s">
        <v>81</v>
      </c>
      <c r="D418" s="394" t="s">
        <v>811</v>
      </c>
      <c r="E418" s="394"/>
    </row>
    <row r="419" spans="1:5" s="395" customFormat="1" ht="25.5">
      <c r="A419" s="388" t="str">
        <f t="shared" si="9"/>
        <v>SAU donnant droit aux contributions (voir définition dans la feuille "Transition")</v>
      </c>
      <c r="B419" s="388" t="s">
        <v>78</v>
      </c>
      <c r="C419" s="388" t="s">
        <v>624</v>
      </c>
      <c r="D419" s="394" t="s">
        <v>812</v>
      </c>
      <c r="E419" s="394"/>
    </row>
    <row r="420" spans="1:5" s="395" customFormat="1" ht="38.25">
      <c r="A420" s="388" t="str">
        <f t="shared" si="9"/>
        <v>* Toutes les surfaces, donnant droit aux contributions pour surfaces en pente, avec plus de 35% de pente</v>
      </c>
      <c r="B420" s="388" t="s">
        <v>82</v>
      </c>
      <c r="C420" s="388" t="s">
        <v>625</v>
      </c>
      <c r="D420" s="394" t="s">
        <v>813</v>
      </c>
      <c r="E420" s="394"/>
    </row>
    <row r="421" spans="1:5" s="395" customFormat="1" ht="25.5">
      <c r="A421" s="388" t="str">
        <f t="shared" si="9"/>
        <v>Part des surfaces en forte pente en % de la surface donnant droit aux contributions</v>
      </c>
      <c r="B421" s="388" t="s">
        <v>606</v>
      </c>
      <c r="C421" s="388" t="s">
        <v>503</v>
      </c>
      <c r="D421" s="394" t="s">
        <v>814</v>
      </c>
      <c r="E421" s="394"/>
    </row>
    <row r="422" spans="1:5" s="395" customFormat="1" ht="25.5">
      <c r="A422" s="388" t="str">
        <f t="shared" si="9"/>
        <v>Part de surfaces en forte pente au-delà de 30%</v>
      </c>
      <c r="B422" s="388" t="s">
        <v>610</v>
      </c>
      <c r="C422" s="388" t="s">
        <v>504</v>
      </c>
      <c r="D422" s="394" t="s">
        <v>815</v>
      </c>
      <c r="E422" s="394"/>
    </row>
    <row r="423" spans="1:5" s="395" customFormat="1" ht="38.25">
      <c r="A423" s="388" t="str">
        <f t="shared" si="9"/>
        <v>Progression linéaire de la contribution à partir de 30% de surfaces en forte pente: Fr. 100.- + d (en %) x 900/70 (Fr. 1'000 - Fr. 100)/(100% - 30%)</v>
      </c>
      <c r="B423" s="388" t="s">
        <v>79</v>
      </c>
      <c r="C423" s="388" t="s">
        <v>505</v>
      </c>
      <c r="D423" s="394" t="s">
        <v>816</v>
      </c>
      <c r="E423" s="394"/>
    </row>
    <row r="424" spans="1:5" s="395" customFormat="1">
      <c r="A424" s="388" t="str">
        <f t="shared" si="9"/>
        <v>&gt; 50 % déclivité</v>
      </c>
      <c r="B424" s="394" t="s">
        <v>675</v>
      </c>
      <c r="C424" s="388" t="s">
        <v>676</v>
      </c>
      <c r="D424" s="394" t="s">
        <v>644</v>
      </c>
      <c r="E424" s="394"/>
    </row>
    <row r="425" spans="1:5" ht="102">
      <c r="A425" s="393" t="str">
        <f t="shared" si="9"/>
        <v>Une décision, sur le principe et la manière d'adapter les facteurs UMOS, doit être prise seulement après la réception du rapport relatif au postulat Leo Müller (12.3906). Le rapport, qui évalue le système actuel et proposera des alternatives possibles, doit être achevé en début d'année 2014. En attendant les facteurs UMOS actuels de 2013 font foi.</v>
      </c>
      <c r="B425" s="401" t="s">
        <v>647</v>
      </c>
      <c r="C425" s="388" t="s">
        <v>254</v>
      </c>
      <c r="D425" s="394" t="s">
        <v>865</v>
      </c>
    </row>
    <row r="426" spans="1:5">
      <c r="A426" s="393" t="str">
        <f t="shared" si="9"/>
        <v>UMOS 2013</v>
      </c>
      <c r="B426" s="388" t="s">
        <v>645</v>
      </c>
      <c r="C426" s="388" t="s">
        <v>247</v>
      </c>
      <c r="D426" s="394" t="s">
        <v>865</v>
      </c>
    </row>
    <row r="427" spans="1:5" ht="25.5">
      <c r="A427" s="393" t="str">
        <f t="shared" ref="A427:A448" si="10">IF($A$2=1,B427,IF($A$2=2,C427,IF($A$2=3,D427,"")))</f>
        <v>UMOS progres technique (provisoirement suspendu)</v>
      </c>
      <c r="B427" s="388" t="s">
        <v>261</v>
      </c>
      <c r="C427" s="388" t="s">
        <v>262</v>
      </c>
      <c r="D427" s="394" t="s">
        <v>865</v>
      </c>
    </row>
    <row r="428" spans="1:5">
      <c r="A428" s="393" t="str">
        <f t="shared" si="10"/>
        <v>Choix pour le calcul</v>
      </c>
      <c r="B428" s="388" t="s">
        <v>648</v>
      </c>
      <c r="C428" s="388" t="s">
        <v>248</v>
      </c>
      <c r="D428" s="394" t="s">
        <v>865</v>
      </c>
    </row>
    <row r="429" spans="1:5" ht="38.25">
      <c r="A429" s="393" t="str">
        <f t="shared" si="10"/>
        <v>Contributions à la sécurité de l'approvisionnement sans prise en compte de la charge minimale en bétail</v>
      </c>
      <c r="B429" s="388" t="s">
        <v>567</v>
      </c>
      <c r="C429" s="388" t="s">
        <v>249</v>
      </c>
      <c r="D429" s="388" t="s">
        <v>817</v>
      </c>
    </row>
    <row r="430" spans="1:5" ht="38.25">
      <c r="A430" s="393" t="str">
        <f t="shared" si="10"/>
        <v>Total contributions à la sécurité de l'approvisionnement sans prise en compte de la charge minimale en bétail</v>
      </c>
      <c r="B430" s="388" t="s">
        <v>569</v>
      </c>
      <c r="C430" s="388" t="s">
        <v>250</v>
      </c>
      <c r="D430" s="388" t="s">
        <v>818</v>
      </c>
    </row>
    <row r="431" spans="1:5" ht="25.5">
      <c r="A431" s="393" t="str">
        <f t="shared" si="10"/>
        <v>pour le calcul de la contribution de transition</v>
      </c>
      <c r="B431" s="388" t="s">
        <v>568</v>
      </c>
      <c r="C431" s="388" t="s">
        <v>251</v>
      </c>
      <c r="D431" s="388" t="s">
        <v>819</v>
      </c>
    </row>
    <row r="432" spans="1:5">
      <c r="A432" s="393" t="str">
        <f t="shared" si="10"/>
        <v>Classes de surface</v>
      </c>
      <c r="B432" s="388" t="s">
        <v>570</v>
      </c>
      <c r="C432" s="388" t="s">
        <v>252</v>
      </c>
      <c r="D432" s="388" t="s">
        <v>820</v>
      </c>
    </row>
    <row r="433" spans="1:5">
      <c r="A433" s="393" t="str">
        <f t="shared" si="10"/>
        <v>Echelonnement selon le nombre d'exploitations</v>
      </c>
      <c r="B433" s="394" t="s">
        <v>571</v>
      </c>
      <c r="C433" s="394" t="s">
        <v>253</v>
      </c>
      <c r="D433" s="394" t="s">
        <v>821</v>
      </c>
    </row>
    <row r="434" spans="1:5">
      <c r="A434" s="393" t="str">
        <f t="shared" si="10"/>
        <v>Exploitation individuelle ou communauté</v>
      </c>
      <c r="B434" s="394" t="s">
        <v>255</v>
      </c>
      <c r="C434" s="394" t="s">
        <v>263</v>
      </c>
      <c r="D434" s="394" t="s">
        <v>822</v>
      </c>
    </row>
    <row r="435" spans="1:5">
      <c r="A435" s="393" t="str">
        <f t="shared" si="10"/>
        <v>Exploitation individuelle</v>
      </c>
      <c r="B435" s="394" t="s">
        <v>256</v>
      </c>
      <c r="C435" s="394" t="s">
        <v>264</v>
      </c>
      <c r="D435" s="394" t="s">
        <v>822</v>
      </c>
    </row>
    <row r="436" spans="1:5">
      <c r="A436" s="393" t="str">
        <f t="shared" si="10"/>
        <v>Communauté à 2 expl.</v>
      </c>
      <c r="B436" s="394" t="s">
        <v>257</v>
      </c>
      <c r="C436" s="394" t="s">
        <v>265</v>
      </c>
      <c r="D436" s="394" t="s">
        <v>823</v>
      </c>
    </row>
    <row r="437" spans="1:5">
      <c r="A437" s="393" t="str">
        <f t="shared" si="10"/>
        <v>Communauté à 3 expl.</v>
      </c>
      <c r="B437" s="394" t="s">
        <v>258</v>
      </c>
      <c r="C437" s="394" t="s">
        <v>266</v>
      </c>
      <c r="D437" s="394" t="s">
        <v>824</v>
      </c>
    </row>
    <row r="438" spans="1:5">
      <c r="A438" s="393" t="str">
        <f t="shared" si="10"/>
        <v>Communauté à 4 expl.</v>
      </c>
      <c r="B438" s="394" t="s">
        <v>259</v>
      </c>
      <c r="C438" s="394" t="s">
        <v>267</v>
      </c>
      <c r="D438" s="394" t="s">
        <v>825</v>
      </c>
    </row>
    <row r="439" spans="1:5">
      <c r="A439" s="393" t="str">
        <f t="shared" si="10"/>
        <v>Communauté à 5 expl.</v>
      </c>
      <c r="B439" s="394" t="s">
        <v>260</v>
      </c>
      <c r="C439" s="394" t="s">
        <v>268</v>
      </c>
      <c r="D439" s="394" t="s">
        <v>826</v>
      </c>
    </row>
    <row r="440" spans="1:5" ht="102">
      <c r="A440" s="393" t="str">
        <f t="shared" si="10"/>
        <v>- Surface agricole utile donnant droit aux contributions: SAU sauf chanvre non cultivé pour l’utilisation des fibres ou des graines, plantes forestières, sapins de Noël, pépinières, plantes ornementales, serres avec fondations permanentes, cultures horticoles (voir aussi Aide à l'exécution Feuille d'information n°6.2: catalogue des surfaces)</v>
      </c>
      <c r="B440" s="397" t="s">
        <v>1304</v>
      </c>
      <c r="C440" s="397" t="s">
        <v>1305</v>
      </c>
      <c r="D440" s="551" t="s">
        <v>1300</v>
      </c>
    </row>
    <row r="441" spans="1:5" s="395" customFormat="1">
      <c r="A441" s="394" t="str">
        <f t="shared" si="10"/>
        <v>SPB herbagères</v>
      </c>
      <c r="B441" s="388" t="s">
        <v>830</v>
      </c>
      <c r="C441" s="388" t="s">
        <v>828</v>
      </c>
      <c r="D441" s="388" t="s">
        <v>831</v>
      </c>
      <c r="E441" s="394"/>
    </row>
    <row r="442" spans="1:5" s="395" customFormat="1" ht="38.25">
      <c r="A442" s="394" t="str">
        <f t="shared" si="10"/>
        <v>Valeurs calculées pour les surfaces SPB ne donnant pas droit à ces contributions en 2014***</v>
      </c>
      <c r="B442" s="388" t="s">
        <v>837</v>
      </c>
      <c r="C442" s="388" t="s">
        <v>834</v>
      </c>
      <c r="D442" s="388" t="s">
        <v>932</v>
      </c>
      <c r="E442" s="394"/>
    </row>
    <row r="443" spans="1:5" s="395" customFormat="1" ht="51">
      <c r="A443" s="394" t="str">
        <f t="shared" si="10"/>
        <v>***Jachères, ourlets sur terres assolées, surfaces à litière, haies, bosquets et berges boisées (attention: seule la contribution de base est ici calculée !)</v>
      </c>
      <c r="B443" s="388" t="s">
        <v>926</v>
      </c>
      <c r="C443" s="388" t="s">
        <v>835</v>
      </c>
      <c r="D443" s="388" t="s">
        <v>931</v>
      </c>
      <c r="E443" s="394"/>
    </row>
    <row r="444" spans="1:5" s="395" customFormat="1" ht="25.5">
      <c r="A444" s="394" t="str">
        <f t="shared" si="10"/>
        <v>bandes fleuries pour pollinisateurs et autres organismes utiles (572)</v>
      </c>
      <c r="B444" s="388" t="s">
        <v>1078</v>
      </c>
      <c r="C444" s="388" t="s">
        <v>1164</v>
      </c>
      <c r="D444" s="388" t="s">
        <v>1134</v>
      </c>
      <c r="E444" s="394"/>
    </row>
    <row r="445" spans="1:5" ht="114.75">
      <c r="A445" s="394" t="str">
        <f t="shared" si="10"/>
        <v>La réduction des contributions 2015 selon décision du Conseil fédéral du 29 octobre 2014 (modification de l'ordonnance sur les paiements directs; AS 2014 3909) n'a pas été intégrée dans l'outil de calcul, car le Parlement a augmenté le crédit pour les paiements directs. La réduction des contributions sera probablement annulée par le Conseil fédéral avec le paquet d'ordonnances du printemps 2015.</v>
      </c>
      <c r="B445" s="388" t="s">
        <v>1043</v>
      </c>
      <c r="C445" s="388" t="s">
        <v>1044</v>
      </c>
      <c r="D445" s="388" t="s">
        <v>1051</v>
      </c>
    </row>
    <row r="446" spans="1:5" ht="114.75">
      <c r="A446" s="394" t="str">
        <f t="shared" si="10"/>
        <v>L' adaptation des contributions 2015 selon décision du Conseil fédéral du 29 octobre 2014 (modification de l'ordonnance sur les paiements directs; AS 2014 3909) n'a pas été intégrée dans l'outil de calcul, car le Parlement a augmenté le crédit pour les paiements directs. Cette adaptation des contributions sera probablement annulée par le Conseil fédéral avec le paquet d'ordonnances du printemps 2015.</v>
      </c>
      <c r="B446" s="388" t="s">
        <v>1045</v>
      </c>
      <c r="C446" s="388" t="s">
        <v>1052</v>
      </c>
      <c r="D446" s="388" t="s">
        <v>1050</v>
      </c>
    </row>
    <row r="447" spans="1:5">
      <c r="A447" s="394" t="str">
        <f t="shared" si="10"/>
        <v xml:space="preserve">Z P: 1920; ZC: 1840; </v>
      </c>
      <c r="B447" s="388" t="s">
        <v>1277</v>
      </c>
      <c r="C447" s="388" t="s">
        <v>1261</v>
      </c>
      <c r="D447" s="388" t="s">
        <v>1281</v>
      </c>
    </row>
    <row r="448" spans="1:5">
      <c r="A448" s="394" t="str">
        <f t="shared" si="10"/>
        <v>ZM1-2:1700; ZM3-4:1100</v>
      </c>
      <c r="B448" s="388" t="s">
        <v>1278</v>
      </c>
      <c r="C448" s="388" t="s">
        <v>1262</v>
      </c>
      <c r="D448" s="388" t="s">
        <v>1262</v>
      </c>
    </row>
    <row r="449" spans="1:4">
      <c r="A449" s="394" t="str">
        <f>IF($A$2=1,B449,IF($A$2=2,C449,IF($A$2=3,D449,"")))</f>
        <v xml:space="preserve">Z P: 2060; ZC: 1980; </v>
      </c>
      <c r="B449" s="388" t="s">
        <v>1279</v>
      </c>
      <c r="C449" s="388" t="s">
        <v>1263</v>
      </c>
      <c r="D449" s="388" t="s">
        <v>1282</v>
      </c>
    </row>
    <row r="450" spans="1:4">
      <c r="A450" s="394" t="str">
        <f>IF($A$2=1,B450,IF($A$2=2,C450,IF($A$2=3,D450,"")))</f>
        <v>ZM1-2:1840; ZM3-4:1770</v>
      </c>
      <c r="B450" s="388" t="s">
        <v>1280</v>
      </c>
      <c r="C450" s="388" t="s">
        <v>1264</v>
      </c>
      <c r="D450" s="388" t="s">
        <v>1264</v>
      </c>
    </row>
    <row r="451" spans="1:4" ht="25.5">
      <c r="A451" s="394" t="str">
        <f t="shared" ref="A451:A499" si="11">IF($A$2=1,B451,IF($A$2=2,C451,IF($A$2=3,D451,"")))</f>
        <v>Calcul de la limitation des contributions pour les SPB QI</v>
      </c>
      <c r="B451" s="388" t="s">
        <v>1079</v>
      </c>
      <c r="C451" s="388" t="s">
        <v>1165</v>
      </c>
      <c r="D451" s="388" t="s">
        <v>1107</v>
      </c>
    </row>
    <row r="452" spans="1:4">
      <c r="A452" s="394" t="str">
        <f t="shared" si="11"/>
        <v>Surface-seuil SS (= a)/2)</v>
      </c>
      <c r="B452" s="388" t="s">
        <v>1109</v>
      </c>
      <c r="C452" s="388" t="s">
        <v>1152</v>
      </c>
      <c r="D452" s="388" t="s">
        <v>1114</v>
      </c>
    </row>
    <row r="453" spans="1:4">
      <c r="A453" s="394" t="str">
        <f t="shared" si="11"/>
        <v>Surface QI déterminante (= b)-c) )</v>
      </c>
      <c r="B453" s="388" t="s">
        <v>1110</v>
      </c>
      <c r="C453" s="388" t="s">
        <v>1138</v>
      </c>
      <c r="D453" s="388" t="s">
        <v>1108</v>
      </c>
    </row>
    <row r="454" spans="1:4" ht="21.75" customHeight="1">
      <c r="A454" s="394" t="str">
        <f t="shared" si="11"/>
        <v>Facteur de limitation (= SS/ Surface QI déterminante)</v>
      </c>
      <c r="B454" s="388" t="s">
        <v>1113</v>
      </c>
      <c r="C454" s="388" t="s">
        <v>1153</v>
      </c>
      <c r="D454" s="388" t="s">
        <v>1139</v>
      </c>
    </row>
    <row r="455" spans="1:4">
      <c r="A455" s="394" t="str">
        <f t="shared" si="11"/>
        <v>Surface QI</v>
      </c>
      <c r="B455" s="388" t="s">
        <v>1087</v>
      </c>
      <c r="C455" s="388" t="s">
        <v>1154</v>
      </c>
      <c r="D455" s="388" t="s">
        <v>1105</v>
      </c>
    </row>
    <row r="456" spans="1:4">
      <c r="A456" s="394" t="str">
        <f t="shared" si="11"/>
        <v>Surface QII</v>
      </c>
      <c r="B456" s="388" t="s">
        <v>1088</v>
      </c>
      <c r="C456" s="388" t="s">
        <v>1142</v>
      </c>
      <c r="D456" s="388" t="s">
        <v>1106</v>
      </c>
    </row>
    <row r="457" spans="1:4">
      <c r="A457" s="394" t="str">
        <f t="shared" si="11"/>
        <v>Surface de base**</v>
      </c>
      <c r="B457" s="388" t="s">
        <v>1090</v>
      </c>
      <c r="C457" s="388" t="s">
        <v>1091</v>
      </c>
      <c r="D457" s="388" t="s">
        <v>1103</v>
      </c>
    </row>
    <row r="458" spans="1:4" ht="76.5">
      <c r="A458" s="394" t="str">
        <f t="shared" si="11"/>
        <v>Surface de base = Surface agricole utile donnant droit aux contributions (voir définition dans feuille "Transition"), sauf surfaces exploitées par tradition à l'étranger, + 0.01 ha par arbre fruitier haute-tige, noyer, châtaignier QI.</v>
      </c>
      <c r="B458" s="388" t="s">
        <v>1205</v>
      </c>
      <c r="C458" s="388" t="s">
        <v>1171</v>
      </c>
      <c r="D458" s="388" t="s">
        <v>1208</v>
      </c>
    </row>
    <row r="459" spans="1:4" ht="25.5">
      <c r="A459" s="387" t="str">
        <f t="shared" si="11"/>
        <v>Total contributions à la biodiversité avant limitation</v>
      </c>
      <c r="B459" s="388" t="s">
        <v>1080</v>
      </c>
      <c r="C459" s="388" t="s">
        <v>1140</v>
      </c>
      <c r="D459" s="388" t="s">
        <v>1141</v>
      </c>
    </row>
    <row r="460" spans="1:4" ht="25.5">
      <c r="A460" s="387" t="str">
        <f t="shared" si="11"/>
        <v>Réduction effective (Contribution QI - Contr. QI x Facteur de limitation)</v>
      </c>
      <c r="B460" s="388" t="s">
        <v>1082</v>
      </c>
      <c r="C460" s="388" t="s">
        <v>1166</v>
      </c>
      <c r="D460" s="388" t="s">
        <v>1212</v>
      </c>
    </row>
    <row r="461" spans="1:4">
      <c r="B461" s="394"/>
      <c r="C461" s="394"/>
    </row>
    <row r="462" spans="1:4" ht="38.25">
      <c r="A462" s="387" t="str">
        <f t="shared" si="11"/>
        <v xml:space="preserve">Total des surfaces avec contributions QI (1 arbre = 0.01 ha) + surfaces viticoles présentant une riche biodiversité </v>
      </c>
      <c r="B462" s="388" t="s">
        <v>1092</v>
      </c>
      <c r="C462" s="388" t="s">
        <v>1155</v>
      </c>
      <c r="D462" s="388" t="s">
        <v>1147</v>
      </c>
    </row>
    <row r="463" spans="1:4" ht="38.25">
      <c r="A463" s="387" t="str">
        <f t="shared" si="11"/>
        <v>Total des surfaces avec contributions QII (1 arbre = 0.01 ha), sans les herbages et surfaces à litière riches en espèces de la région d'estivage</v>
      </c>
      <c r="B463" s="388" t="s">
        <v>1148</v>
      </c>
      <c r="C463" s="388" t="s">
        <v>1156</v>
      </c>
      <c r="D463" s="388" t="s">
        <v>1191</v>
      </c>
    </row>
    <row r="464" spans="1:4">
      <c r="A464" s="387" t="str">
        <f t="shared" si="11"/>
        <v>Contribution QI</v>
      </c>
      <c r="B464" s="388" t="s">
        <v>1081</v>
      </c>
      <c r="C464" s="388" t="s">
        <v>1144</v>
      </c>
      <c r="D464" s="388" t="s">
        <v>1104</v>
      </c>
    </row>
    <row r="465" spans="1:6">
      <c r="A465" s="387" t="str">
        <f t="shared" si="11"/>
        <v>pas de réduction</v>
      </c>
      <c r="B465" s="388" t="s">
        <v>1085</v>
      </c>
      <c r="C465" s="388" t="s">
        <v>1157</v>
      </c>
      <c r="D465" s="388" t="s">
        <v>1086</v>
      </c>
    </row>
    <row r="466" spans="1:6" ht="127.5">
      <c r="A466" s="387" t="str">
        <f t="shared" si="11"/>
        <v>Le chiffre calculé automatiquement est la somme des surfaces de l'onglet "Sécurité de l'approvisionnement" (terres ouvertes, cultures pérennes, prairies temporaires, SPB herbagères et surfaces herbagères permanentes hors SPB) + 556,557,559,572,851 + haies, bosquets et berges boisées QI + arbres QI (0.01 ha par arbre). Il doit être contrôlé et éventuellement corrigé, afin qu'il corresponde à la définition de la surface de base**.</v>
      </c>
      <c r="B466" s="388" t="s">
        <v>1206</v>
      </c>
      <c r="C466" s="388" t="s">
        <v>1216</v>
      </c>
      <c r="D466" s="388" t="s">
        <v>1207</v>
      </c>
    </row>
    <row r="467" spans="1:6" ht="38.25">
      <c r="A467" s="387" t="str">
        <f t="shared" si="11"/>
        <v>Les contributions QI sont octroyées à partir de 20 arbres donnant droit à des contributions par exploitation.</v>
      </c>
      <c r="B467" s="388" t="s">
        <v>1096</v>
      </c>
      <c r="C467" s="388" t="s">
        <v>1158</v>
      </c>
      <c r="D467" s="388" t="s">
        <v>1192</v>
      </c>
    </row>
    <row r="468" spans="1:6">
      <c r="A468" s="387" t="str">
        <f t="shared" si="11"/>
        <v>Exploitation d'estivage ou erreur de saisie ?</v>
      </c>
      <c r="B468" s="388" t="s">
        <v>1111</v>
      </c>
      <c r="C468" s="388" t="s">
        <v>1159</v>
      </c>
      <c r="D468" s="388" t="s">
        <v>1193</v>
      </c>
    </row>
    <row r="469" spans="1:6">
      <c r="A469" s="387" t="str">
        <f t="shared" si="11"/>
        <v>Surface QI = Surface QII</v>
      </c>
      <c r="B469" s="388" t="s">
        <v>1112</v>
      </c>
      <c r="C469" s="388" t="s">
        <v>1143</v>
      </c>
      <c r="D469" s="388" t="s">
        <v>1136</v>
      </c>
    </row>
    <row r="470" spans="1:6">
      <c r="A470" s="387" t="str">
        <f t="shared" si="11"/>
        <v>Vérifiez la surface de base!</v>
      </c>
      <c r="B470" s="388" t="s">
        <v>1135</v>
      </c>
      <c r="C470" s="388" t="s">
        <v>1145</v>
      </c>
      <c r="D470" s="388" t="s">
        <v>1146</v>
      </c>
    </row>
    <row r="471" spans="1:6">
      <c r="A471" s="387" t="str">
        <f t="shared" si="11"/>
        <v>Minimum pour le versement des PD: 0.2 UMOS</v>
      </c>
      <c r="B471" s="388" t="s">
        <v>1137</v>
      </c>
      <c r="C471" s="388" t="s">
        <v>1160</v>
      </c>
      <c r="D471" s="388" t="s">
        <v>1194</v>
      </c>
    </row>
    <row r="472" spans="1:6">
      <c r="A472" s="387" t="str">
        <f t="shared" si="11"/>
        <v>Contrib. sur l'exploitation d'estivage</v>
      </c>
      <c r="B472" s="388" t="s">
        <v>1150</v>
      </c>
      <c r="C472" s="388" t="s">
        <v>1167</v>
      </c>
      <c r="D472" s="388" t="s">
        <v>1195</v>
      </c>
    </row>
    <row r="473" spans="1:6">
      <c r="A473" s="387" t="str">
        <f t="shared" si="11"/>
        <v>Récapitulation</v>
      </c>
      <c r="B473" s="388" t="s">
        <v>1149</v>
      </c>
      <c r="C473" s="388" t="s">
        <v>1161</v>
      </c>
      <c r="D473" s="388" t="s">
        <v>1196</v>
      </c>
    </row>
    <row r="474" spans="1:6">
      <c r="A474" s="387" t="str">
        <f t="shared" si="11"/>
        <v>Autres contributions</v>
      </c>
      <c r="B474" s="394" t="s">
        <v>1151</v>
      </c>
      <c r="C474" s="388" t="s">
        <v>1162</v>
      </c>
      <c r="D474" s="388" t="s">
        <v>1197</v>
      </c>
    </row>
    <row r="475" spans="1:6">
      <c r="A475" s="387" t="str">
        <f t="shared" si="11"/>
        <v>Contribution d'estivage</v>
      </c>
      <c r="B475" s="394" t="s">
        <v>228</v>
      </c>
      <c r="C475" s="388" t="s">
        <v>1163</v>
      </c>
      <c r="D475" s="388" t="s">
        <v>1198</v>
      </c>
    </row>
    <row r="476" spans="1:6" ht="25.5">
      <c r="A476" s="387" t="str">
        <f t="shared" si="11"/>
        <v>Contributions à la qualité du paysage sur l'exploitation d'estivage</v>
      </c>
      <c r="B476" s="388" t="s">
        <v>1186</v>
      </c>
      <c r="C476" s="388" t="s">
        <v>1168</v>
      </c>
      <c r="D476" s="388" t="s">
        <v>1187</v>
      </c>
    </row>
    <row r="477" spans="1:6" ht="25.5">
      <c r="A477" s="394" t="str">
        <f t="shared" si="11"/>
        <v>Contrib. herbages et surfaces à litière riches en espèces de la région d'estivage</v>
      </c>
      <c r="B477" s="388" t="s">
        <v>1188</v>
      </c>
      <c r="C477" s="388" t="s">
        <v>1169</v>
      </c>
      <c r="D477" s="388" t="s">
        <v>1189</v>
      </c>
    </row>
    <row r="478" spans="1:6" ht="51">
      <c r="A478" s="394" t="str">
        <f t="shared" si="11"/>
        <v>Ce récapitulatif est le détail des contributions concernant l'exploitation d'estivage: celles-ci sont déjà incluses dans la récapitulation des contributions ci-contre.</v>
      </c>
      <c r="B478" s="388" t="s">
        <v>1190</v>
      </c>
      <c r="C478" s="388" t="s">
        <v>1170</v>
      </c>
      <c r="D478" s="388" t="s">
        <v>1199</v>
      </c>
      <c r="F478" s="524" t="s">
        <v>1236</v>
      </c>
    </row>
    <row r="479" spans="1:6">
      <c r="A479" s="394" t="str">
        <f t="shared" si="11"/>
        <v>**mais au max. 300 par PN</v>
      </c>
      <c r="B479" s="394" t="s">
        <v>1237</v>
      </c>
      <c r="C479" s="388" t="s">
        <v>1224</v>
      </c>
      <c r="D479" s="388" t="s">
        <v>1290</v>
      </c>
      <c r="F479" s="524" t="s">
        <v>1235</v>
      </c>
    </row>
    <row r="480" spans="1:6" ht="25.5">
      <c r="A480" s="394" t="str">
        <f t="shared" si="11"/>
        <v>Aucune contribution n’est versée pour les bandes culturales extensives</v>
      </c>
      <c r="B480" s="394" t="s">
        <v>1250</v>
      </c>
      <c r="C480" s="388" t="s">
        <v>1251</v>
      </c>
      <c r="D480" s="388" t="s">
        <v>1289</v>
      </c>
      <c r="F480" s="524" t="s">
        <v>1235</v>
      </c>
    </row>
    <row r="481" spans="1:6" ht="102">
      <c r="A481" s="394" t="str">
        <f t="shared" si="11"/>
        <v>***Le15.09.2016 le Conseil fédéral a réduit la contribution de base à la sécurité de l'approvisionnement pour 2017 de CHF 40.-/ha (à CHF 860.-/ha). Comme le Parlement n'a pas réduit le crédit pour les paiements directs agricoles, il est possible que le Conseil fédéral relève la contribution de base au niveau de l'année précédente début 2017.</v>
      </c>
      <c r="B481" s="394" t="s">
        <v>1234</v>
      </c>
      <c r="C481" s="394" t="s">
        <v>1241</v>
      </c>
      <c r="D481" s="388" t="s">
        <v>1287</v>
      </c>
      <c r="F481" s="525" t="s">
        <v>1238</v>
      </c>
    </row>
    <row r="482" spans="1:6">
      <c r="A482" s="394" t="str">
        <f t="shared" si="11"/>
        <v>Lupins</v>
      </c>
      <c r="B482" s="388" t="s">
        <v>1267</v>
      </c>
      <c r="C482" s="394" t="s">
        <v>1248</v>
      </c>
      <c r="D482" s="388" t="s">
        <v>1288</v>
      </c>
      <c r="F482" s="525" t="s">
        <v>1239</v>
      </c>
    </row>
    <row r="483" spans="1:6" ht="51">
      <c r="A483" s="394" t="str">
        <f t="shared" si="11"/>
        <v>Contribution supplémentaire pour les bovins mâles, ainsi que pour les veaux femelles et les jeunes bovins, qui séjournent uniquement au pâturage pendant le semestre d’été</v>
      </c>
      <c r="B483" s="388" t="s">
        <v>1293</v>
      </c>
      <c r="C483" s="394" t="s">
        <v>1299</v>
      </c>
      <c r="D483" s="535"/>
      <c r="F483" s="525" t="s">
        <v>1240</v>
      </c>
    </row>
    <row r="484" spans="1:6">
      <c r="A484" s="394" t="str">
        <f t="shared" si="11"/>
        <v>Cerfs et bisons</v>
      </c>
      <c r="B484" s="388" t="s">
        <v>1268</v>
      </c>
      <c r="C484" s="394" t="s">
        <v>1255</v>
      </c>
      <c r="D484" s="394" t="s">
        <v>1272</v>
      </c>
    </row>
    <row r="485" spans="1:6" ht="25.5">
      <c r="A485" s="394" t="str">
        <f t="shared" si="11"/>
        <v>Alimentation biphase des porcs appauvrie en matière azotée</v>
      </c>
      <c r="B485" s="388" t="s">
        <v>1292</v>
      </c>
      <c r="C485" s="394" t="s">
        <v>1265</v>
      </c>
      <c r="D485" s="394" t="s">
        <v>1271</v>
      </c>
    </row>
    <row r="486" spans="1:6" ht="25.5">
      <c r="A486" s="394" t="str">
        <f t="shared" si="11"/>
        <v>Contribution pour la réduction des produits phytosanitaires</v>
      </c>
      <c r="B486" s="388" t="s">
        <v>1269</v>
      </c>
      <c r="C486" s="388" t="s">
        <v>1266</v>
      </c>
      <c r="D486" s="394" t="s">
        <v>1270</v>
      </c>
    </row>
    <row r="487" spans="1:6">
      <c r="A487" s="387" t="str">
        <f t="shared" si="11"/>
        <v>Charge effective</v>
      </c>
      <c r="B487" s="394" t="s">
        <v>1294</v>
      </c>
      <c r="C487" s="394" t="s">
        <v>1295</v>
      </c>
      <c r="D487" s="535"/>
    </row>
    <row r="488" spans="1:6">
      <c r="A488" s="387" t="str">
        <f t="shared" si="11"/>
        <v>Supplément pour les céréales</v>
      </c>
      <c r="B488" s="388" t="s">
        <v>1398</v>
      </c>
      <c r="C488" s="388" t="s">
        <v>1399</v>
      </c>
      <c r="D488" s="535"/>
    </row>
    <row r="489" spans="1:6" ht="51">
      <c r="A489" s="387" t="str">
        <f t="shared" si="11"/>
        <v>*La contribution exacte est calculée chaque année sur la base des moyens autorisés pour le supplément et de la superficie céréalière donnant droit au supplément</v>
      </c>
      <c r="B489" s="388" t="s">
        <v>1322</v>
      </c>
      <c r="C489" s="388" t="s">
        <v>1323</v>
      </c>
      <c r="D489" s="535"/>
    </row>
    <row r="490" spans="1:6">
      <c r="A490" s="387" t="str">
        <f t="shared" si="11"/>
        <v>céréales en lignes de semis espacées</v>
      </c>
      <c r="B490" s="567" t="s">
        <v>1419</v>
      </c>
      <c r="C490" s="569" t="s">
        <v>1420</v>
      </c>
      <c r="D490" s="568"/>
    </row>
    <row r="491" spans="1:6">
      <c r="A491" s="387" t="str">
        <f t="shared" si="11"/>
        <v>Total contributions à la biodiversité</v>
      </c>
      <c r="B491" s="394" t="s">
        <v>282</v>
      </c>
      <c r="C491" s="388" t="s">
        <v>283</v>
      </c>
      <c r="D491" s="388" t="s">
        <v>715</v>
      </c>
    </row>
    <row r="492" spans="1:6" ht="102">
      <c r="A492" s="387" t="str">
        <f t="shared" si="11"/>
        <v>Blé panifiable, le blé dur, le blé fourrager, le seigle, l’épeautre, l’avoine, l’orge, le triticale, le riz en culture sèche, l’amidonnier et l’engrain ainsi que les mélanges de ces céréales, le lin, les tournesols, les pois en grains, les haricots en grains, les lupins ainsi que pour les mélanges de pois en grains, de haricots en grains ou de lupins avec des céréales</v>
      </c>
      <c r="B492" s="567" t="s">
        <v>1341</v>
      </c>
      <c r="C492" s="567" t="s">
        <v>1340</v>
      </c>
      <c r="D492" s="568"/>
    </row>
    <row r="493" spans="1:6" ht="25.5">
      <c r="A493" s="387" t="str">
        <f t="shared" si="11"/>
        <v>b) - Aucune contribution n’est versée pour les légumes de conserve de plein champ</v>
      </c>
      <c r="B493" s="569" t="s">
        <v>1359</v>
      </c>
      <c r="C493" s="569" t="s">
        <v>1360</v>
      </c>
      <c r="D493" s="568"/>
    </row>
    <row r="494" spans="1:6" ht="38.25">
      <c r="A494" s="387" t="str">
        <f t="shared" si="11"/>
        <v>c) - Aucune contribution n’est octroyée pour les surfaces pour lesquelles une contribution pour l'agriculture biologique est versée</v>
      </c>
      <c r="B494" s="569" t="s">
        <v>1361</v>
      </c>
      <c r="C494" s="569" t="s">
        <v>1362</v>
      </c>
      <c r="D494" s="568"/>
    </row>
    <row r="495" spans="1:6" ht="89.25">
      <c r="A495" s="387" t="str">
        <f t="shared" si="11"/>
        <v>d) - Aucune contribution n’est versée pour les surfaces de promotion de la biodiversité selon l’art. 55 (à l’exception des céréales en lignes de semis espacées), les bandes semées pour organismes utiles dans les terres ouvertes selon l’art. 71b, al. 1, let. a, la culture de champignons, les surfaces cultivées toute l’année sous abri</v>
      </c>
      <c r="B495" s="569" t="s">
        <v>1363</v>
      </c>
      <c r="C495" s="569" t="s">
        <v>1410</v>
      </c>
      <c r="D495" s="568"/>
    </row>
    <row r="496" spans="1:6">
      <c r="A496" s="387" t="str">
        <f t="shared" si="11"/>
        <v xml:space="preserve">Biodiversité fonctionnelle </v>
      </c>
      <c r="B496" s="569" t="s">
        <v>1347</v>
      </c>
      <c r="C496" s="569" t="s">
        <v>1349</v>
      </c>
      <c r="D496" s="568"/>
    </row>
    <row r="497" spans="1:4">
      <c r="A497" s="387" t="str">
        <f t="shared" si="11"/>
        <v xml:space="preserve">Mesures en faveur du climat </v>
      </c>
      <c r="B497" s="569" t="s">
        <v>1348</v>
      </c>
      <c r="C497" s="569" t="s">
        <v>1350</v>
      </c>
      <c r="D497" s="568"/>
    </row>
    <row r="498" spans="1:4" ht="25.5">
      <c r="A498" s="387" t="str">
        <f>IF($A$2=1,B498,IF($A$2=2,C498,IF($A$2=3,D498,"")))</f>
        <v xml:space="preserve">Modes de production particulièrement respectueux des animaux </v>
      </c>
      <c r="B498" s="569" t="s">
        <v>1449</v>
      </c>
      <c r="C498" s="569" t="s">
        <v>1351</v>
      </c>
      <c r="D498" s="568"/>
    </row>
    <row r="499" spans="1:4" ht="76.5">
      <c r="A499" s="387" t="str">
        <f t="shared" si="11"/>
        <v>e) - Aucune contribution n’est versée pour les bandes semées pour organismes utiles, dans le cas des surfaces viticoles présentant une biodiversité naturelle selon l’art. 55, al. 1, let. n, et des surfaces de promotion de la biodiversité spécifiques à la région selon l’art. 55, al. 1, let. p</v>
      </c>
      <c r="B499" s="569" t="s">
        <v>1412</v>
      </c>
      <c r="C499" s="569" t="s">
        <v>1411</v>
      </c>
      <c r="D499" s="568"/>
    </row>
    <row r="500" spans="1:4" ht="51">
      <c r="A500" s="387" t="str">
        <f t="shared" ref="A500:A520" si="12">IF($A$2=1,B500,IF($A$2=2,C500,IF($A$2=3,D500,"")))</f>
        <v>i) - Aucune contribution n’est versée pour l’aménagement de prairies temporaires par semis sous litière, de cultures intercalaires, de cultures de blé ou de triticale après le maïs</v>
      </c>
      <c r="B500" s="569" t="s">
        <v>1446</v>
      </c>
      <c r="C500" s="569" t="s">
        <v>1447</v>
      </c>
      <c r="D500" s="568"/>
    </row>
    <row r="501" spans="1:4">
      <c r="A501" s="387" t="str">
        <f t="shared" si="12"/>
        <v>Oui = 1; Non = 0</v>
      </c>
      <c r="B501" s="569" t="s">
        <v>1378</v>
      </c>
      <c r="C501" s="569" t="s">
        <v>1377</v>
      </c>
      <c r="D501" s="568"/>
    </row>
    <row r="502" spans="1:4" ht="102">
      <c r="A502" s="387" t="str">
        <f t="shared" si="12"/>
        <v xml:space="preserve">**Le montant est proportionnel au nombre moyen de vêlages: pour les vaches laitières entre 10 francs pour une moyenne de 3 vêlages et 200 francs pour une moyenne de 7 vêlages et plus;
pour les autres vaches: entre 10 francs pour une moyenne de 4 vêlages et 200 francs pour une moyenne de 8 vêlages et plus
</v>
      </c>
      <c r="B502" s="569" t="s">
        <v>1397</v>
      </c>
      <c r="C502" s="569" t="s">
        <v>1403</v>
      </c>
      <c r="D502" s="568"/>
    </row>
    <row r="503" spans="1:4">
      <c r="A503" s="387" t="str">
        <f t="shared" si="12"/>
        <v>UGB vaches</v>
      </c>
      <c r="B503" s="567" t="s">
        <v>1421</v>
      </c>
      <c r="C503" s="567" t="s">
        <v>1422</v>
      </c>
      <c r="D503" s="568"/>
    </row>
    <row r="504" spans="1:4" ht="63.75">
      <c r="A504" s="387" t="str">
        <f t="shared" si="12"/>
        <v>Le facteur pour la contribution de transition va probablement augmenter en 2023 et se monter à environ 0.2 à 0.25, puis il devrait de nouveau diminuer, en fonction de la participation aux nouveaux programmes</v>
      </c>
      <c r="B504" s="567" t="s">
        <v>1424</v>
      </c>
      <c r="C504" s="567" t="s">
        <v>1423</v>
      </c>
      <c r="D504" s="568"/>
    </row>
    <row r="505" spans="1:4">
      <c r="A505" s="387" t="str">
        <f t="shared" si="12"/>
        <v>(Emploi d'herbicide autorisé)</v>
      </c>
      <c r="B505" s="569" t="s">
        <v>1425</v>
      </c>
      <c r="C505" s="569" t="s">
        <v>1426</v>
      </c>
      <c r="D505" s="568"/>
    </row>
    <row r="506" spans="1:4" ht="102">
      <c r="A506" s="387" t="str">
        <f t="shared" si="12"/>
        <v>f) - si, dans un délai de sept semaines après la récolte dans l’ensemble de l’exploitation, une autre culture, une culture d’automne, une culture intercalaire ou un engrais vert sont mis en place, et si aucun travail du sol n’est réalisé sur les surfaces où sont aménagées des cultures, cultures intercalaires et engrais verts jusqu’au 15 février de l’année suivante</v>
      </c>
      <c r="B506" s="569" t="s">
        <v>1441</v>
      </c>
      <c r="C506" s="569" t="s">
        <v>1442</v>
      </c>
      <c r="D506" s="568"/>
    </row>
    <row r="507" spans="1:4" ht="51">
      <c r="A507" s="387" t="str">
        <f t="shared" si="12"/>
        <v>g) - si au moins 70 % de la surface concernée dans l’ensemble de l’exploitation est couverte en tout temps par une culture ou par une culture intercalaire</v>
      </c>
      <c r="B507" s="569" t="s">
        <v>1443</v>
      </c>
      <c r="C507" s="569" t="s">
        <v>1444</v>
      </c>
      <c r="D507" s="568"/>
    </row>
    <row r="508" spans="1:4" ht="51">
      <c r="A508" s="387" t="str">
        <f t="shared" si="12"/>
        <v>h) - si dans l’ensemble de l’exploitation, au moins 70 % de la surface de vignes est enherbée, et si le marc est rapporté et épandu sur les surfaces de vignes de l’exploitation</v>
      </c>
      <c r="B508" s="569" t="s">
        <v>1445</v>
      </c>
      <c r="C508" s="569" t="s">
        <v>1448</v>
      </c>
      <c r="D508" s="568"/>
    </row>
    <row r="509" spans="1:4" ht="25.5">
      <c r="A509" s="387" t="str">
        <f t="shared" si="12"/>
        <v>j) - Les conditions pour la contribution pour une couverture appropriée du sol sont respectées</v>
      </c>
      <c r="B509" s="567" t="s">
        <v>1460</v>
      </c>
      <c r="C509" s="567" t="s">
        <v>1459</v>
      </c>
      <c r="D509" s="568"/>
    </row>
    <row r="510" spans="1:4" ht="38.25">
      <c r="A510" s="387" t="str">
        <f t="shared" si="12"/>
        <v>k) - La surface donnant droit à la contribution représente au moins 60 % de la surface de terres ouvertes de l’exploitation</v>
      </c>
      <c r="B510" s="567" t="s">
        <v>1462</v>
      </c>
      <c r="C510" s="567" t="s">
        <v>1461</v>
      </c>
      <c r="D510" s="568"/>
    </row>
    <row r="511" spans="1:4">
      <c r="A511" s="387" t="str">
        <f t="shared" si="12"/>
        <v>vaches laitières</v>
      </c>
      <c r="B511" s="567" t="s">
        <v>1331</v>
      </c>
      <c r="C511" s="567" t="s">
        <v>1463</v>
      </c>
      <c r="D511" s="568"/>
    </row>
    <row r="512" spans="1:4">
      <c r="A512" s="387" t="str">
        <f t="shared" si="12"/>
        <v>autres vaches</v>
      </c>
      <c r="B512" s="567" t="s">
        <v>1472</v>
      </c>
      <c r="C512" s="567" t="s">
        <v>1464</v>
      </c>
      <c r="D512" s="568"/>
    </row>
    <row r="513" spans="1:4" ht="25.5">
      <c r="A513" s="387" t="str">
        <f t="shared" si="12"/>
        <v>animaux femelles, de plus de 365 jours au premier vêlage</v>
      </c>
      <c r="B513" s="567" t="s">
        <v>1476</v>
      </c>
      <c r="C513" s="567" t="s">
        <v>1465</v>
      </c>
      <c r="D513" s="568"/>
    </row>
    <row r="514" spans="1:4">
      <c r="A514" s="387" t="str">
        <f t="shared" si="12"/>
        <v>animaux femelles, de plus de 160 à 365 jours</v>
      </c>
      <c r="B514" s="567" t="s">
        <v>1477</v>
      </c>
      <c r="C514" s="567" t="s">
        <v>1466</v>
      </c>
      <c r="D514" s="568"/>
    </row>
    <row r="515" spans="1:4">
      <c r="A515" s="387" t="str">
        <f t="shared" si="12"/>
        <v>animaux femelles, jusqu’à 160 jours</v>
      </c>
      <c r="B515" s="567" t="s">
        <v>1478</v>
      </c>
      <c r="C515" s="567" t="s">
        <v>1467</v>
      </c>
      <c r="D515" s="568"/>
    </row>
    <row r="516" spans="1:4">
      <c r="A516" s="387" t="str">
        <f t="shared" si="12"/>
        <v>animaux mâles, de plus de 730 jours</v>
      </c>
      <c r="B516" s="567" t="s">
        <v>1479</v>
      </c>
      <c r="C516" s="567" t="s">
        <v>1468</v>
      </c>
      <c r="D516" s="568"/>
    </row>
    <row r="517" spans="1:4">
      <c r="A517" s="387" t="str">
        <f t="shared" si="12"/>
        <v>animaux mâles, de plus de 365 jours à 730 jours</v>
      </c>
      <c r="B517" s="567" t="s">
        <v>1480</v>
      </c>
      <c r="C517" s="567" t="s">
        <v>1469</v>
      </c>
      <c r="D517" s="568"/>
    </row>
    <row r="518" spans="1:4">
      <c r="A518" s="387" t="str">
        <f t="shared" si="12"/>
        <v>animaux mâles, de plus de 160 jours à 365 jours</v>
      </c>
      <c r="B518" s="567" t="s">
        <v>1481</v>
      </c>
      <c r="C518" s="567" t="s">
        <v>1470</v>
      </c>
      <c r="D518" s="568"/>
    </row>
    <row r="519" spans="1:4">
      <c r="A519" s="387" t="str">
        <f t="shared" si="12"/>
        <v>animaux mâles, jusqu’à 160 jours</v>
      </c>
      <c r="B519" s="567" t="s">
        <v>1473</v>
      </c>
      <c r="C519" s="567" t="s">
        <v>1471</v>
      </c>
      <c r="D519" s="568"/>
    </row>
    <row r="520" spans="1:4">
      <c r="A520" s="387" t="str">
        <f t="shared" si="12"/>
        <v>Bovins et les buffles d’Asie</v>
      </c>
      <c r="B520" s="567" t="s">
        <v>1475</v>
      </c>
      <c r="C520" s="567" t="s">
        <v>1474</v>
      </c>
      <c r="D520" s="568"/>
    </row>
  </sheetData>
  <phoneticPr fontId="23" type="noConversion"/>
  <conditionalFormatting sqref="E28 D14:D27 D60:D67 D224:D227 D173 D327 D290:D293 D309:D312 D295:D303 D76:D82 D91 D52:D54 D73:D74 D185 D187:D190 D29:D50 D93:D102 D175:D176 D192:D195 D198:D222 D251:D258 D324:D325 D314:D321 D178:D183 D240:D248 D69 D57 D104:D117 D260:D288 D305:D307 D229:D237 D119:D171">
    <cfRule type="expression" dxfId="21" priority="25" stopIfTrue="1">
      <formula>ISBLANK(D14)</formula>
    </cfRule>
    <cfRule type="cellIs" dxfId="20" priority="26" stopIfTrue="1" operator="equal">
      <formula>$C14</formula>
    </cfRule>
  </conditionalFormatting>
  <conditionalFormatting sqref="D14:D27 D60:D67 D224:D227 D173 D327 D290:D293 D309:D312 D295:D303 D76:D82 D91 D52:D54 D73:D74 D185 D187:D190 D29:D50 D93:D102 D175:D176 D192:D195 D198:D222 D251:D258 D324:D325 D314:D321 D178:D183 D240:D248 D69 D57 D104:D117 D260:D288 D305:D307 D229:D237">
    <cfRule type="expression" dxfId="19" priority="19" stopIfTrue="1">
      <formula>ISBLANK(D14)</formula>
    </cfRule>
    <cfRule type="cellIs" dxfId="18" priority="20" stopIfTrue="1" operator="equal">
      <formula>$C14</formula>
    </cfRule>
  </conditionalFormatting>
  <conditionalFormatting sqref="D50">
    <cfRule type="expression" dxfId="17" priority="17" stopIfTrue="1">
      <formula>ISBLANK(D50)</formula>
    </cfRule>
    <cfRule type="cellIs" dxfId="16" priority="18" stopIfTrue="1" operator="equal">
      <formula>$C50</formula>
    </cfRule>
  </conditionalFormatting>
  <conditionalFormatting sqref="D95">
    <cfRule type="expression" dxfId="15" priority="15" stopIfTrue="1">
      <formula>ISBLANK(D95)</formula>
    </cfRule>
    <cfRule type="cellIs" dxfId="14" priority="16" stopIfTrue="1" operator="equal">
      <formula>$C95</formula>
    </cfRule>
  </conditionalFormatting>
  <conditionalFormatting sqref="D163">
    <cfRule type="expression" dxfId="13" priority="13" stopIfTrue="1">
      <formula>ISBLANK(D163)</formula>
    </cfRule>
    <cfRule type="cellIs" dxfId="12" priority="14" stopIfTrue="1" operator="equal">
      <formula>$C163</formula>
    </cfRule>
  </conditionalFormatting>
  <conditionalFormatting sqref="D256">
    <cfRule type="expression" dxfId="11" priority="11" stopIfTrue="1">
      <formula>ISBLANK(D256)</formula>
    </cfRule>
    <cfRule type="cellIs" dxfId="10" priority="12" stopIfTrue="1" operator="equal">
      <formula>$C256</formula>
    </cfRule>
  </conditionalFormatting>
  <conditionalFormatting sqref="D321">
    <cfRule type="expression" dxfId="9" priority="9" stopIfTrue="1">
      <formula>ISBLANK(D321)</formula>
    </cfRule>
    <cfRule type="cellIs" dxfId="8" priority="10" stopIfTrue="1" operator="equal">
      <formula>$C321</formula>
    </cfRule>
  </conditionalFormatting>
  <conditionalFormatting sqref="D322">
    <cfRule type="expression" dxfId="7" priority="7" stopIfTrue="1">
      <formula>ISBLANK(D322)</formula>
    </cfRule>
    <cfRule type="cellIs" dxfId="6" priority="8" stopIfTrue="1" operator="equal">
      <formula>$C322</formula>
    </cfRule>
  </conditionalFormatting>
  <conditionalFormatting sqref="D327">
    <cfRule type="expression" dxfId="5" priority="5" stopIfTrue="1">
      <formula>ISBLANK(D327)</formula>
    </cfRule>
    <cfRule type="cellIs" dxfId="4" priority="6" stopIfTrue="1" operator="equal">
      <formula>$C327</formula>
    </cfRule>
  </conditionalFormatting>
  <conditionalFormatting sqref="D491">
    <cfRule type="expression" dxfId="3" priority="1" stopIfTrue="1">
      <formula>ISBLANK(D491)</formula>
    </cfRule>
    <cfRule type="cellIs" dxfId="2" priority="2" stopIfTrue="1" operator="equal">
      <formula>$C491</formula>
    </cfRule>
  </conditionalFormatting>
  <conditionalFormatting sqref="D491">
    <cfRule type="expression" dxfId="1" priority="3" stopIfTrue="1">
      <formula>ISBLANK(D491)</formula>
    </cfRule>
    <cfRule type="cellIs" dxfId="0" priority="4" stopIfTrue="1" operator="equal">
      <formula>$C491</formula>
    </cfRule>
  </conditionalFormatting>
  <pageMargins left="0.78740157480314965" right="0.78740157480314965" top="0.98425196850393704" bottom="0.98425196850393704" header="0.51181102362204722" footer="0.51181102362204722"/>
  <pageSetup paperSize="9" orientation="portrait" r:id="rId1"/>
  <headerFooter alignWithMargins="0">
    <oddFooter>&amp;LBZ I-II:2900;BZ III-IV:2650&amp;CAckerschonstreifen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87BE34CF444743A7A6FCBE978E70E5" ma:contentTypeVersion="0" ma:contentTypeDescription="Crée un document." ma:contentTypeScope="" ma:versionID="73bcc4466cb88a749b7bba568368ad5e">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d1428c390db06ab825dafcc0c9fceb12"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27</Value>
      <Value>23</Value>
      <Value>85</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Économie</TermName>
          <TermId xmlns="http://schemas.microsoft.com/office/infopath/2007/PartnerControls">5b43b51f-42e0-45b4-bf56-3f4a3ab7a590</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 l'agriculture</TermName>
          <TermId xmlns="http://schemas.microsoft.com/office/infopath/2007/PartnerControls">8f4b11fb-0932-4562-a981-15179d087f55</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SAGR</TermName>
          <TermId xmlns="http://schemas.microsoft.com/office/infopath/2007/PartnerControls">6e334905-b03d-4f07-9d8b-3a8cf8eb8f30</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Props1.xml><?xml version="1.0" encoding="utf-8"?>
<ds:datastoreItem xmlns:ds="http://schemas.openxmlformats.org/officeDocument/2006/customXml" ds:itemID="{23A23E30-C83F-4923-B979-0C4B928B13CF}"/>
</file>

<file path=customXml/itemProps2.xml><?xml version="1.0" encoding="utf-8"?>
<ds:datastoreItem xmlns:ds="http://schemas.openxmlformats.org/officeDocument/2006/customXml" ds:itemID="{14CF03E9-39F2-4E0C-95EB-4F038D05B8F6}"/>
</file>

<file path=customXml/itemProps3.xml><?xml version="1.0" encoding="utf-8"?>
<ds:datastoreItem xmlns:ds="http://schemas.openxmlformats.org/officeDocument/2006/customXml" ds:itemID="{FCEE22DF-EFEE-42A6-BC2E-4C936404C33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Paysage cultivé</vt:lpstr>
      <vt:lpstr>Sécurité</vt:lpstr>
      <vt:lpstr>Biodiversité</vt:lpstr>
      <vt:lpstr>Qualité du paysage</vt:lpstr>
      <vt:lpstr>Système de production</vt:lpstr>
      <vt:lpstr>Efficience des ressources</vt:lpstr>
      <vt:lpstr>Transition</vt:lpstr>
      <vt:lpstr>Limitations</vt:lpstr>
      <vt:lpstr>Texte</vt:lpstr>
      <vt:lpstr>Biodiversité!AusblendSpalten</vt:lpstr>
      <vt:lpstr>'Paysage cultivé'!AusblendSpalten</vt:lpstr>
      <vt:lpstr>Texte!SprachIdx</vt:lpstr>
      <vt:lpstr>Texte!StartZelle</vt:lpstr>
      <vt:lpstr>Biodiversité!Zone_d_impression</vt:lpstr>
      <vt:lpstr>'Efficience des ressources'!Zone_d_impression</vt:lpstr>
      <vt:lpstr>Limitations!Zone_d_impression</vt:lpstr>
      <vt:lpstr>'Paysage cultivé'!Zone_d_impression</vt:lpstr>
      <vt:lpstr>'Qualité du paysage'!Zone_d_impression</vt:lpstr>
      <vt:lpstr>Sécurité!Zone_d_impression</vt:lpstr>
      <vt:lpstr>'Système de production'!Zone_d_impression</vt:lpstr>
      <vt:lpstr>Transition!Zone_d_impression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AGRIDEA</dc:creator>
  <dc:description>Version 4.9.3</dc:description>
  <cp:lastModifiedBy>Contesse Charlène</cp:lastModifiedBy>
  <cp:lastPrinted>2022-06-28T11:52:05Z</cp:lastPrinted>
  <dcterms:created xsi:type="dcterms:W3CDTF">1998-12-16T12:22:56Z</dcterms:created>
  <dcterms:modified xsi:type="dcterms:W3CDTF">2022-08-29T13:57:56Z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2.0</vt:lpwstr>
  </property>
  <property fmtid="{D5CDD505-2E9C-101B-9397-08002B2CF9AE}" pid="3" name="ContentTypeId">
    <vt:lpwstr>0x0101005387BE34CF444743A7A6FCBE978E70E5</vt:lpwstr>
  </property>
  <property fmtid="{D5CDD505-2E9C-101B-9397-08002B2CF9AE}" pid="4" name="Entite">
    <vt:lpwstr>85;#Service de l'agriculture|8f4b11fb-0932-4562-a981-15179d087f55</vt:lpwstr>
  </property>
  <property fmtid="{D5CDD505-2E9C-101B-9397-08002B2CF9AE}" pid="5" name="Theme">
    <vt:lpwstr>23;#Économie|5b43b51f-42e0-45b4-bf56-3f4a3ab7a590</vt:lpwstr>
  </property>
  <property fmtid="{D5CDD505-2E9C-101B-9397-08002B2CF9AE}" pid="6" name="Acronyme">
    <vt:lpwstr>27;#SAGR|6e334905-b03d-4f07-9d8b-3a8cf8eb8f30</vt:lpwstr>
  </property>
  <property fmtid="{D5CDD505-2E9C-101B-9397-08002B2CF9AE}" pid="7" name="Departement">
    <vt:lpwstr/>
  </property>
  <property fmtid="{D5CDD505-2E9C-101B-9397-08002B2CF9AE}" pid="8" name="Type du document">
    <vt:lpwstr/>
  </property>
</Properties>
</file>